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H0362226\Downloads\"/>
    </mc:Choice>
  </mc:AlternateContent>
  <xr:revisionPtr revIDLastSave="0" documentId="8_{A4CA3D5C-B79F-43A3-B5A2-0A351F70DC6B}" xr6:coauthVersionLast="47" xr6:coauthVersionMax="47" xr10:uidLastSave="{00000000-0000-0000-0000-000000000000}"/>
  <workbookProtection workbookAlgorithmName="SHA-512" workbookHashValue="+GZw9e6QbmvHDhK7bGRVJp55eAsMwfl8/GmOS4AiJo85C5rNT6DtqRnHPhpoMadhXPhbhTPPwkZsjGYmfWHYOA==" workbookSaltValue="TYF+tDMRUicpm5DF89uIsg==" workbookSpinCount="100000" lockStructure="1"/>
  <bookViews>
    <workbookView xWindow="-110" yWindow="-110" windowWidth="19420" windowHeight="10300" tabRatio="566" firstSheet="3" activeTab="3" xr2:uid="{00000000-000D-0000-FFFF-FFFF00000000}"/>
  </bookViews>
  <sheets>
    <sheet name="FIJ_2" sheetId="35" state="hidden" r:id="rId1"/>
    <sheet name="EXTRA" sheetId="38" state="hidden" r:id="rId2"/>
    <sheet name="Tarifa 2025" sheetId="118" state="hidden" r:id="rId3"/>
    <sheet name="FACHADAS" sheetId="7" r:id="rId4"/>
    <sheet name="SWT-E-O" sheetId="18" r:id="rId5"/>
    <sheet name="calculo espigas" sheetId="115" state="hidden" r:id="rId6"/>
    <sheet name="SWT-A-O" sheetId="78" r:id="rId7"/>
    <sheet name="ZOC" sheetId="96" state="hidden" r:id="rId8"/>
    <sheet name="Listas-2" sheetId="39" state="hidden" r:id="rId9"/>
    <sheet name="Hoja1" sheetId="117" state="hidden" r:id="rId10"/>
    <sheet name="TARIFA 2024" sheetId="116" state="hidden" r:id="rId11"/>
    <sheet name="Espesores" sheetId="114" state="hidden" r:id="rId12"/>
    <sheet name="SIS" sheetId="31" state="hidden" r:id="rId13"/>
    <sheet name="AIS" sheetId="33" state="hidden" r:id="rId14"/>
    <sheet name="ADH" sheetId="32" state="hidden" r:id="rId15"/>
    <sheet name="FIJ_1" sheetId="34" state="hidden" r:id="rId16"/>
    <sheet name="Lista - memorias" sheetId="10" state="hidden" r:id="rId17"/>
    <sheet name="REF" sheetId="36" state="hidden" r:id="rId18"/>
    <sheet name="REV" sheetId="37" state="hidden" r:id="rId19"/>
    <sheet name="Listas-1" sheetId="4" state="hidden" r:id="rId20"/>
    <sheet name="calendario" sheetId="24" state="hidden" r:id="rId21"/>
  </sheets>
  <externalReferences>
    <externalReference r:id="rId22"/>
    <externalReference r:id="rId23"/>
  </externalReferences>
  <definedNames>
    <definedName name="_xlnm._FilterDatabase" localSheetId="8" hidden="1">'Listas-2'!$A$11:$M$123</definedName>
    <definedName name="_xlnm._FilterDatabase" localSheetId="10" hidden="1">'TARIFA 2024'!$A$2:$M$110</definedName>
    <definedName name="_xlnm._FilterDatabase" localSheetId="2" hidden="1">'Tarifa 2025'!$A$2:$R$112</definedName>
    <definedName name="_xlnm.Print_Area" localSheetId="9">Hoja1!$B$5:$E$22</definedName>
    <definedName name="_xlnm.Print_Area" localSheetId="6">'SWT-A-O'!$A$1:$L$90,'SWT-A-O'!$A$92:$L$165,'SWT-A-O'!$A$167:$L$259</definedName>
    <definedName name="_xlnm.Print_Area" localSheetId="4">'SWT-E-O'!$A$1:$L$94,'SWT-E-O'!$A$96:$L$169,'SWT-E-O'!$A$171:$L$262</definedName>
    <definedName name="Print_Area" localSheetId="6">'SWT-A-O'!$A$1:$L$90,'SWT-A-O'!$A$92:$L$165,'SWT-A-O'!$A$167:$L$259</definedName>
    <definedName name="Print_Area" localSheetId="4">'SWT-E-O'!$A$1:$L$94,'SWT-E-O'!$A$96:$L$169,'SWT-E-O'!$A$171:$L$262</definedName>
    <definedName name="webercal_basic" localSheetId="10">[1]Espesores!$B$3:$B$7</definedName>
    <definedName name="webercal_basic" localSheetId="2">[2]Espesores!$B$3:$B$7</definedName>
    <definedName name="webercal_basic">Espesores!$B$3:$B$7</definedName>
    <definedName name="webercal_revoco" localSheetId="10">[1]Espesores!$C$3:$C$8</definedName>
    <definedName name="webercal_revoco" localSheetId="2">[2]Espesores!$C$3:$C$8</definedName>
    <definedName name="webercal_revoco">Espesores!$C$3:$C$8</definedName>
    <definedName name="webertherm_acustic">AIS!$A$6:$A$9</definedName>
    <definedName name="webertherm_aislone" localSheetId="8">FIJ_2!#REF!</definedName>
    <definedName name="webertherm_aislone" localSheetId="6">FIJ_2!#REF!</definedName>
    <definedName name="webertherm_aislone" localSheetId="10">[1]FIJ_2!#REF!</definedName>
    <definedName name="webertherm_aislone" localSheetId="2">[2]FIJ_2!#REF!</definedName>
    <definedName name="webertherm_aislone" localSheetId="7">FIJ_2!#REF!</definedName>
    <definedName name="webertherm_aislone">FIJ_2!#REF!</definedName>
    <definedName name="webertherm_ceramic_optima">AIS!$A$2:$A$11</definedName>
    <definedName name="webertherm_ceramic_plus">AIS!$A$2:$A$11</definedName>
    <definedName name="webertherm_etics">AIS!$A$2:$A$5</definedName>
    <definedName name="webertherm_flex">AIS!$A$2:$A$5</definedName>
    <definedName name="webertherm_mineral">AIS!$A$10</definedName>
    <definedName name="webertherm_natura">AIS!$A$11</definedName>
    <definedName name="webertherm_placa_clima_34" localSheetId="8">FIJ_2!#REF!</definedName>
    <definedName name="webertherm_placa_clima_34" localSheetId="6">FIJ_2!#REF!</definedName>
    <definedName name="webertherm_placa_clima_34" localSheetId="10">[1]FIJ_2!#REF!</definedName>
    <definedName name="webertherm_placa_clima_34" localSheetId="2">[2]FIJ_2!#REF!</definedName>
    <definedName name="webertherm_placa_clima_34" localSheetId="7">FIJ_2!#REF!</definedName>
    <definedName name="webertherm_placa_clima_34">FIJ_2!#REF!</definedName>
    <definedName name="webertherm_placa_corcho" localSheetId="8">FIJ_2!#REF!</definedName>
    <definedName name="webertherm_placa_corcho" localSheetId="6">FIJ_2!#REF!</definedName>
    <definedName name="webertherm_placa_corcho" localSheetId="10">[1]FIJ_2!#REF!</definedName>
    <definedName name="webertherm_placa_corcho" localSheetId="2">[2]FIJ_2!#REF!</definedName>
    <definedName name="webertherm_placa_corcho" localSheetId="7">FIJ_2!#REF!</definedName>
    <definedName name="webertherm_placa_corcho">FIJ_2!#REF!</definedName>
    <definedName name="webertherm_placa_DUO" localSheetId="8">FIJ_2!#REF!</definedName>
    <definedName name="webertherm_placa_DUO" localSheetId="6">FIJ_2!#REF!</definedName>
    <definedName name="webertherm_placa_DUO" localSheetId="10">[1]FIJ_2!#REF!</definedName>
    <definedName name="webertherm_placa_DUO" localSheetId="2">[2]FIJ_2!#REF!</definedName>
    <definedName name="webertherm_placa_DUO" localSheetId="7">FIJ_2!#REF!</definedName>
    <definedName name="webertherm_placa_DUO">FIJ_2!#REF!</definedName>
    <definedName name="webertherm_placa_EPS" localSheetId="8">FIJ_2!#REF!</definedName>
    <definedName name="webertherm_placa_EPS" localSheetId="6">FIJ_2!#REF!</definedName>
    <definedName name="webertherm_placa_EPS" localSheetId="10">[1]FIJ_2!#REF!</definedName>
    <definedName name="webertherm_placa_EPS" localSheetId="2">[2]FIJ_2!#REF!</definedName>
    <definedName name="webertherm_placa_EPS" localSheetId="7">FIJ_2!#REF!</definedName>
    <definedName name="webertherm_placa_EPS">FIJ_2!#REF!</definedName>
    <definedName name="webertherm_placa_EPS_grafito" localSheetId="8">FIJ_2!#REF!</definedName>
    <definedName name="webertherm_placa_EPS_grafito" localSheetId="6">FIJ_2!#REF!</definedName>
    <definedName name="webertherm_placa_EPS_grafito" localSheetId="10">[1]FIJ_2!#REF!</definedName>
    <definedName name="webertherm_placa_EPS_grafito" localSheetId="2">[2]FIJ_2!#REF!</definedName>
    <definedName name="webertherm_placa_EPS_grafito" localSheetId="7">FIJ_2!#REF!</definedName>
    <definedName name="webertherm_placa_EPS_grafito">FIJ_2!#REF!</definedName>
    <definedName name="webertherm_placa_PF" localSheetId="8">FIJ_2!#REF!</definedName>
    <definedName name="webertherm_placa_PF" localSheetId="6">FIJ_2!#REF!</definedName>
    <definedName name="webertherm_placa_PF" localSheetId="10">[1]FIJ_2!#REF!</definedName>
    <definedName name="webertherm_placa_PF" localSheetId="2">[2]FIJ_2!#REF!</definedName>
    <definedName name="webertherm_placa_PF" localSheetId="7">FIJ_2!#REF!</definedName>
    <definedName name="webertherm_placa_PF">FIJ_2!#REF!</definedName>
    <definedName name="webertherm_placa_XPS" localSheetId="8">FIJ_2!#REF!</definedName>
    <definedName name="webertherm_placa_XPS" localSheetId="6">FIJ_2!#REF!</definedName>
    <definedName name="webertherm_placa_XPS" localSheetId="10">[1]FIJ_2!#REF!</definedName>
    <definedName name="webertherm_placa_XPS" localSheetId="2">[2]FIJ_2!#REF!</definedName>
    <definedName name="webertherm_placa_XPS" localSheetId="7">FIJ_2!#REF!</definedName>
    <definedName name="webertherm_placa_XPS">FIJ_2!#REF!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68" i="39" l="1"/>
  <c r="K172" i="39"/>
  <c r="J170" i="39"/>
  <c r="K170" i="39" s="1"/>
  <c r="K174" i="39"/>
  <c r="K175" i="39"/>
  <c r="K176" i="39"/>
  <c r="K177" i="39"/>
  <c r="J174" i="39"/>
  <c r="J175" i="39"/>
  <c r="J177" i="39"/>
  <c r="C197" i="39"/>
  <c r="C198" i="39"/>
  <c r="C199" i="39"/>
  <c r="C200" i="39"/>
  <c r="C201" i="39"/>
  <c r="C202" i="39"/>
  <c r="C203" i="39"/>
  <c r="C204" i="39"/>
  <c r="C205" i="39"/>
  <c r="C206" i="39"/>
  <c r="C207" i="39"/>
  <c r="C208" i="39"/>
  <c r="C209" i="39"/>
  <c r="C210" i="39"/>
  <c r="C211" i="39"/>
  <c r="C212" i="39"/>
  <c r="C213" i="39"/>
  <c r="C214" i="39"/>
  <c r="C215" i="39"/>
  <c r="C216" i="39"/>
  <c r="C217" i="39"/>
  <c r="C218" i="39"/>
  <c r="C219" i="39"/>
  <c r="C220" i="39"/>
  <c r="C221" i="39"/>
  <c r="C222" i="39"/>
  <c r="C223" i="39"/>
  <c r="C224" i="39"/>
  <c r="C225" i="39"/>
  <c r="C226" i="39"/>
  <c r="C227" i="39"/>
  <c r="C228" i="39"/>
  <c r="C229" i="39"/>
  <c r="C230" i="39"/>
  <c r="C231" i="39"/>
  <c r="C232" i="39"/>
  <c r="C233" i="39"/>
  <c r="C234" i="39"/>
  <c r="C235" i="39"/>
  <c r="C236" i="39"/>
  <c r="C237" i="39"/>
  <c r="C238" i="39"/>
  <c r="C239" i="39"/>
  <c r="C240" i="39"/>
  <c r="C241" i="39"/>
  <c r="C242" i="39"/>
  <c r="C243" i="39"/>
  <c r="C244" i="39"/>
  <c r="C245" i="39"/>
  <c r="C246" i="39"/>
  <c r="C247" i="39"/>
  <c r="C248" i="39"/>
  <c r="C249" i="39"/>
  <c r="C250" i="39"/>
  <c r="C251" i="39"/>
  <c r="C252" i="39"/>
  <c r="C253" i="39"/>
  <c r="C254" i="39"/>
  <c r="C255" i="39"/>
  <c r="C256" i="39"/>
  <c r="C257" i="39"/>
  <c r="C258" i="39"/>
  <c r="C259" i="39"/>
  <c r="C260" i="39"/>
  <c r="C261" i="39"/>
  <c r="C262" i="39"/>
  <c r="C263" i="39"/>
  <c r="C264" i="39"/>
  <c r="C265" i="39"/>
  <c r="C266" i="39"/>
  <c r="C267" i="39"/>
  <c r="C268" i="39"/>
  <c r="C269" i="39"/>
  <c r="C270" i="39"/>
  <c r="C271" i="39"/>
  <c r="C272" i="39"/>
  <c r="C273" i="39"/>
  <c r="C274" i="39"/>
  <c r="C275" i="39"/>
  <c r="C276" i="39"/>
  <c r="C277" i="39"/>
  <c r="C278" i="39"/>
  <c r="C279" i="39"/>
  <c r="C280" i="39"/>
  <c r="C281" i="39"/>
  <c r="C282" i="39"/>
  <c r="C283" i="39"/>
  <c r="C284" i="39"/>
  <c r="C285" i="39"/>
  <c r="C286" i="39"/>
  <c r="C287" i="39"/>
  <c r="C288" i="39"/>
  <c r="C289" i="39"/>
  <c r="C290" i="39"/>
  <c r="C291" i="39"/>
  <c r="C292" i="39"/>
  <c r="C293" i="39"/>
  <c r="C294" i="39"/>
  <c r="C295" i="39"/>
  <c r="C296" i="39"/>
  <c r="C297" i="39"/>
  <c r="C298" i="39"/>
  <c r="C299" i="39"/>
  <c r="C300" i="39"/>
  <c r="C301" i="39"/>
  <c r="C302" i="39"/>
  <c r="C303" i="39"/>
  <c r="C304" i="39"/>
  <c r="C305" i="39"/>
  <c r="C306" i="39"/>
  <c r="C307" i="39"/>
  <c r="C308" i="39"/>
  <c r="C309" i="39"/>
  <c r="C310" i="39"/>
  <c r="C311" i="39"/>
  <c r="C312" i="39"/>
  <c r="C313" i="39"/>
  <c r="C314" i="39"/>
  <c r="C315" i="39"/>
  <c r="C316" i="39"/>
  <c r="C317" i="39"/>
  <c r="C318" i="39"/>
  <c r="C319" i="39"/>
  <c r="C320" i="39"/>
  <c r="C321" i="39"/>
  <c r="C322" i="39"/>
  <c r="C323" i="39"/>
  <c r="C324" i="39"/>
  <c r="C325" i="39"/>
  <c r="C326" i="39"/>
  <c r="C327" i="39"/>
  <c r="C328" i="39"/>
  <c r="C196" i="39"/>
  <c r="C118" i="39"/>
  <c r="C119" i="39"/>
  <c r="C120" i="39"/>
  <c r="C121" i="39"/>
  <c r="C122" i="39"/>
  <c r="C123" i="39"/>
  <c r="C124" i="39"/>
  <c r="C125" i="39"/>
  <c r="C126" i="39"/>
  <c r="C127" i="39"/>
  <c r="C128" i="39"/>
  <c r="C129" i="39"/>
  <c r="C130" i="39"/>
  <c r="C131" i="39"/>
  <c r="C132" i="39"/>
  <c r="C133" i="39"/>
  <c r="C134" i="39"/>
  <c r="C135" i="39"/>
  <c r="C136" i="39"/>
  <c r="C137" i="39"/>
  <c r="C138" i="39"/>
  <c r="C139" i="39"/>
  <c r="C140" i="39"/>
  <c r="C141" i="39"/>
  <c r="C142" i="39"/>
  <c r="C143" i="39"/>
  <c r="C144" i="39"/>
  <c r="C145" i="39"/>
  <c r="C146" i="39"/>
  <c r="C147" i="39"/>
  <c r="C148" i="39"/>
  <c r="C149" i="39"/>
  <c r="C150" i="39"/>
  <c r="C151" i="39"/>
  <c r="C152" i="39"/>
  <c r="C153" i="39"/>
  <c r="C154" i="39"/>
  <c r="C155" i="39"/>
  <c r="C156" i="39"/>
  <c r="C157" i="39"/>
  <c r="C158" i="39"/>
  <c r="C159" i="39"/>
  <c r="C160" i="39"/>
  <c r="C161" i="39"/>
  <c r="C162" i="39"/>
  <c r="C163" i="39"/>
  <c r="C164" i="39"/>
  <c r="C165" i="39"/>
  <c r="C166" i="39"/>
  <c r="C167" i="39"/>
  <c r="C168" i="39"/>
  <c r="C169" i="39"/>
  <c r="C170" i="39"/>
  <c r="C171" i="39"/>
  <c r="C172" i="39"/>
  <c r="C173" i="39"/>
  <c r="C174" i="39"/>
  <c r="C176" i="39"/>
  <c r="C177" i="39"/>
  <c r="C178" i="39"/>
  <c r="C179" i="39"/>
  <c r="C180" i="39"/>
  <c r="C181" i="39"/>
  <c r="C182" i="39"/>
  <c r="C183" i="39"/>
  <c r="C184" i="39"/>
  <c r="C185" i="39"/>
  <c r="C186" i="39"/>
  <c r="C187" i="39"/>
  <c r="C188" i="39"/>
  <c r="C189" i="39"/>
  <c r="C190" i="39"/>
  <c r="C191" i="39"/>
  <c r="C192" i="39"/>
  <c r="C193" i="39"/>
  <c r="C194" i="39"/>
  <c r="C195" i="39"/>
  <c r="C117" i="39"/>
  <c r="P117" i="39"/>
  <c r="O96" i="39"/>
  <c r="O97" i="39"/>
  <c r="O98" i="39"/>
  <c r="O99" i="39"/>
  <c r="O100" i="39"/>
  <c r="O101" i="39"/>
  <c r="O102" i="39"/>
  <c r="O103" i="39"/>
  <c r="O104" i="39"/>
  <c r="O105" i="39"/>
  <c r="O106" i="39"/>
  <c r="O107" i="39"/>
  <c r="O108" i="39"/>
  <c r="O109" i="39"/>
  <c r="O110" i="39"/>
  <c r="O111" i="39"/>
  <c r="O112" i="39"/>
  <c r="O113" i="39"/>
  <c r="O83" i="39"/>
  <c r="O84" i="39"/>
  <c r="O85" i="39"/>
  <c r="O86" i="39"/>
  <c r="O87" i="39"/>
  <c r="O88" i="39"/>
  <c r="O89" i="39"/>
  <c r="O90" i="39"/>
  <c r="O91" i="39"/>
  <c r="O92" i="39"/>
  <c r="O93" i="39"/>
  <c r="O94" i="39"/>
  <c r="O95" i="39"/>
  <c r="O69" i="39"/>
  <c r="O70" i="39"/>
  <c r="O71" i="39"/>
  <c r="O72" i="39"/>
  <c r="O73" i="39"/>
  <c r="O74" i="39"/>
  <c r="O75" i="39"/>
  <c r="O76" i="39"/>
  <c r="O77" i="39"/>
  <c r="O78" i="39"/>
  <c r="O79" i="39"/>
  <c r="O80" i="39"/>
  <c r="O81" i="39"/>
  <c r="O82" i="39"/>
  <c r="O51" i="39"/>
  <c r="O52" i="39"/>
  <c r="O53" i="39"/>
  <c r="O54" i="39"/>
  <c r="O55" i="39"/>
  <c r="O56" i="39"/>
  <c r="O57" i="39"/>
  <c r="O58" i="39"/>
  <c r="O59" i="39"/>
  <c r="O60" i="39"/>
  <c r="O61" i="39"/>
  <c r="O62" i="39"/>
  <c r="O63" i="39"/>
  <c r="O64" i="39"/>
  <c r="O65" i="39"/>
  <c r="O66" i="39"/>
  <c r="O67" i="39"/>
  <c r="O68" i="39"/>
  <c r="O47" i="39"/>
  <c r="O48" i="39"/>
  <c r="O49" i="39"/>
  <c r="O50" i="39"/>
  <c r="O29" i="39"/>
  <c r="O30" i="39"/>
  <c r="O31" i="39"/>
  <c r="O32" i="39"/>
  <c r="O33" i="39"/>
  <c r="O34" i="39"/>
  <c r="O35" i="39"/>
  <c r="O36" i="39"/>
  <c r="O37" i="39"/>
  <c r="O38" i="39"/>
  <c r="O39" i="39"/>
  <c r="O40" i="39"/>
  <c r="O41" i="39"/>
  <c r="O42" i="39"/>
  <c r="O43" i="39"/>
  <c r="O44" i="39"/>
  <c r="O45" i="39"/>
  <c r="O46" i="39"/>
  <c r="O13" i="39"/>
  <c r="O14" i="39"/>
  <c r="O15" i="39"/>
  <c r="O16" i="39"/>
  <c r="O17" i="39"/>
  <c r="O18" i="39"/>
  <c r="O19" i="39"/>
  <c r="O20" i="39"/>
  <c r="O21" i="39"/>
  <c r="O22" i="39"/>
  <c r="O23" i="39"/>
  <c r="O24" i="39"/>
  <c r="O25" i="39"/>
  <c r="O26" i="39"/>
  <c r="O27" i="39"/>
  <c r="O28" i="39"/>
  <c r="O12" i="39"/>
  <c r="Q316" i="118"/>
  <c r="P316" i="118"/>
  <c r="O316" i="118"/>
  <c r="K316" i="118"/>
  <c r="J316" i="118"/>
  <c r="C316" i="118"/>
  <c r="Q315" i="118"/>
  <c r="P315" i="118"/>
  <c r="O315" i="118"/>
  <c r="K315" i="118"/>
  <c r="J315" i="118"/>
  <c r="C315" i="118"/>
  <c r="Q314" i="118"/>
  <c r="P314" i="118"/>
  <c r="O314" i="118"/>
  <c r="K314" i="118"/>
  <c r="C314" i="118" s="1"/>
  <c r="J314" i="118"/>
  <c r="Q313" i="118"/>
  <c r="P313" i="118"/>
  <c r="O313" i="118"/>
  <c r="K313" i="118"/>
  <c r="J313" i="118"/>
  <c r="C313" i="118"/>
  <c r="O311" i="118"/>
  <c r="D311" i="118"/>
  <c r="C311" i="118"/>
  <c r="O310" i="118"/>
  <c r="C310" i="118"/>
  <c r="O307" i="118"/>
  <c r="C307" i="118"/>
  <c r="O306" i="118"/>
  <c r="C306" i="118"/>
  <c r="O305" i="118"/>
  <c r="C305" i="118"/>
  <c r="O303" i="118"/>
  <c r="C303" i="118"/>
  <c r="O302" i="118"/>
  <c r="D302" i="118"/>
  <c r="C302" i="118"/>
  <c r="O301" i="118"/>
  <c r="C301" i="118"/>
  <c r="O300" i="118"/>
  <c r="C300" i="118"/>
  <c r="Q298" i="118"/>
  <c r="P298" i="118"/>
  <c r="O298" i="118"/>
  <c r="K298" i="118"/>
  <c r="C298" i="118" s="1"/>
  <c r="J298" i="118"/>
  <c r="Q297" i="118"/>
  <c r="P297" i="118"/>
  <c r="O297" i="118"/>
  <c r="K297" i="118"/>
  <c r="J297" i="118"/>
  <c r="C297" i="118"/>
  <c r="Q296" i="118"/>
  <c r="P296" i="118"/>
  <c r="O296" i="118"/>
  <c r="K296" i="118"/>
  <c r="J296" i="118"/>
  <c r="C296" i="118"/>
  <c r="Q295" i="118"/>
  <c r="P295" i="118"/>
  <c r="O295" i="118"/>
  <c r="K295" i="118"/>
  <c r="C295" i="118" s="1"/>
  <c r="J295" i="118"/>
  <c r="Q294" i="118"/>
  <c r="P294" i="118"/>
  <c r="O294" i="118"/>
  <c r="K294" i="118"/>
  <c r="C294" i="118" s="1"/>
  <c r="J294" i="118"/>
  <c r="Q293" i="118"/>
  <c r="P293" i="118"/>
  <c r="O293" i="118"/>
  <c r="K293" i="118"/>
  <c r="J293" i="118"/>
  <c r="C293" i="118"/>
  <c r="Q292" i="118"/>
  <c r="P292" i="118"/>
  <c r="O292" i="118"/>
  <c r="K292" i="118"/>
  <c r="C292" i="118" s="1"/>
  <c r="J292" i="118"/>
  <c r="Q291" i="118"/>
  <c r="P291" i="118"/>
  <c r="O291" i="118"/>
  <c r="K291" i="118"/>
  <c r="J291" i="118"/>
  <c r="C291" i="118"/>
  <c r="Q290" i="118"/>
  <c r="P290" i="118"/>
  <c r="O290" i="118"/>
  <c r="K290" i="118"/>
  <c r="C290" i="118" s="1"/>
  <c r="J290" i="118"/>
  <c r="Q289" i="118"/>
  <c r="P289" i="118"/>
  <c r="O289" i="118"/>
  <c r="K289" i="118"/>
  <c r="J289" i="118"/>
  <c r="C289" i="118"/>
  <c r="O286" i="118"/>
  <c r="C286" i="118"/>
  <c r="Q285" i="118"/>
  <c r="O285" i="118"/>
  <c r="K285" i="118"/>
  <c r="C285" i="118"/>
  <c r="Q282" i="118"/>
  <c r="O282" i="118"/>
  <c r="K282" i="118"/>
  <c r="C282" i="118"/>
  <c r="Q281" i="118"/>
  <c r="O281" i="118"/>
  <c r="K281" i="118"/>
  <c r="C281" i="118"/>
  <c r="Q280" i="118"/>
  <c r="O280" i="118"/>
  <c r="K280" i="118"/>
  <c r="C280" i="118"/>
  <c r="Q279" i="118"/>
  <c r="O279" i="118"/>
  <c r="K279" i="118"/>
  <c r="C279" i="118"/>
  <c r="Q278" i="118"/>
  <c r="O278" i="118"/>
  <c r="K278" i="118"/>
  <c r="C278" i="118"/>
  <c r="Q277" i="118"/>
  <c r="O277" i="118"/>
  <c r="K277" i="118"/>
  <c r="C277" i="118"/>
  <c r="Q276" i="118"/>
  <c r="O276" i="118"/>
  <c r="K276" i="118"/>
  <c r="C276" i="118"/>
  <c r="Q275" i="118"/>
  <c r="O275" i="118"/>
  <c r="K275" i="118"/>
  <c r="C275" i="118"/>
  <c r="Q274" i="118"/>
  <c r="O274" i="118"/>
  <c r="K274" i="118"/>
  <c r="C274" i="118"/>
  <c r="Q273" i="118"/>
  <c r="O273" i="118"/>
  <c r="K273" i="118"/>
  <c r="C273" i="118"/>
  <c r="Q272" i="118"/>
  <c r="O272" i="118"/>
  <c r="K272" i="118"/>
  <c r="C272" i="118"/>
  <c r="Q269" i="118"/>
  <c r="O269" i="118"/>
  <c r="K269" i="118"/>
  <c r="C269" i="118"/>
  <c r="Q268" i="118"/>
  <c r="O268" i="118"/>
  <c r="K268" i="118"/>
  <c r="C268" i="118"/>
  <c r="Q267" i="118"/>
  <c r="O267" i="118"/>
  <c r="K267" i="118"/>
  <c r="C267" i="118"/>
  <c r="Q266" i="118"/>
  <c r="O266" i="118"/>
  <c r="K266" i="118"/>
  <c r="C266" i="118"/>
  <c r="O263" i="118"/>
  <c r="C263" i="118"/>
  <c r="O261" i="118"/>
  <c r="D261" i="118"/>
  <c r="C261" i="118"/>
  <c r="O260" i="118"/>
  <c r="D260" i="118"/>
  <c r="C260" i="118"/>
  <c r="O259" i="118"/>
  <c r="D259" i="118"/>
  <c r="C259" i="118"/>
  <c r="O258" i="118"/>
  <c r="D258" i="118"/>
  <c r="C258" i="118"/>
  <c r="O257" i="118"/>
  <c r="D257" i="118"/>
  <c r="C257" i="118"/>
  <c r="Q255" i="118"/>
  <c r="O255" i="118"/>
  <c r="K255" i="118"/>
  <c r="C255" i="118" s="1"/>
  <c r="Q254" i="118"/>
  <c r="O254" i="118"/>
  <c r="K254" i="118"/>
  <c r="C254" i="118"/>
  <c r="Q253" i="118"/>
  <c r="O253" i="118"/>
  <c r="K253" i="118"/>
  <c r="C253" i="118"/>
  <c r="Q252" i="118"/>
  <c r="O252" i="118"/>
  <c r="K252" i="118"/>
  <c r="C252" i="118"/>
  <c r="P251" i="118"/>
  <c r="J251" i="118"/>
  <c r="Q250" i="118"/>
  <c r="O250" i="118"/>
  <c r="K250" i="118"/>
  <c r="C250" i="118" s="1"/>
  <c r="Q249" i="118"/>
  <c r="O249" i="118"/>
  <c r="K249" i="118"/>
  <c r="C249" i="118" s="1"/>
  <c r="Q248" i="118"/>
  <c r="O248" i="118"/>
  <c r="K248" i="118"/>
  <c r="C248" i="118" s="1"/>
  <c r="Q247" i="118"/>
  <c r="O247" i="118"/>
  <c r="K247" i="118"/>
  <c r="C247" i="118" s="1"/>
  <c r="Q246" i="118"/>
  <c r="O246" i="118"/>
  <c r="K246" i="118"/>
  <c r="C246" i="118" s="1"/>
  <c r="Q245" i="118"/>
  <c r="O245" i="118"/>
  <c r="K245" i="118"/>
  <c r="C245" i="118" s="1"/>
  <c r="Q244" i="118"/>
  <c r="O244" i="118"/>
  <c r="K244" i="118"/>
  <c r="C244" i="118" s="1"/>
  <c r="Q243" i="118"/>
  <c r="O243" i="118"/>
  <c r="K243" i="118"/>
  <c r="C243" i="118" s="1"/>
  <c r="Q242" i="118"/>
  <c r="O242" i="118"/>
  <c r="K242" i="118"/>
  <c r="C242" i="118" s="1"/>
  <c r="Q241" i="118"/>
  <c r="O241" i="118"/>
  <c r="K241" i="118"/>
  <c r="C241" i="118" s="1"/>
  <c r="Q240" i="118"/>
  <c r="O240" i="118"/>
  <c r="K240" i="118"/>
  <c r="C240" i="118" s="1"/>
  <c r="Q239" i="118"/>
  <c r="O239" i="118"/>
  <c r="K239" i="118"/>
  <c r="C239" i="118" s="1"/>
  <c r="Q238" i="118"/>
  <c r="O238" i="118"/>
  <c r="K238" i="118"/>
  <c r="C238" i="118" s="1"/>
  <c r="Q237" i="118"/>
  <c r="O237" i="118"/>
  <c r="K237" i="118"/>
  <c r="C237" i="118" s="1"/>
  <c r="P236" i="118"/>
  <c r="J236" i="118"/>
  <c r="Q235" i="118"/>
  <c r="O235" i="118"/>
  <c r="K235" i="118"/>
  <c r="C235" i="118"/>
  <c r="Q234" i="118"/>
  <c r="O234" i="118"/>
  <c r="K234" i="118"/>
  <c r="C234" i="118"/>
  <c r="Q233" i="118"/>
  <c r="O233" i="118"/>
  <c r="K233" i="118"/>
  <c r="C233" i="118"/>
  <c r="Q232" i="118"/>
  <c r="K232" i="118"/>
  <c r="Q231" i="118"/>
  <c r="O231" i="118"/>
  <c r="K231" i="118"/>
  <c r="C231" i="118" s="1"/>
  <c r="Q230" i="118"/>
  <c r="K230" i="118"/>
  <c r="Q229" i="118"/>
  <c r="O229" i="118"/>
  <c r="K229" i="118"/>
  <c r="C229" i="118"/>
  <c r="Q228" i="118"/>
  <c r="K228" i="118"/>
  <c r="Q227" i="118"/>
  <c r="O227" i="118"/>
  <c r="K227" i="118"/>
  <c r="C227" i="118" s="1"/>
  <c r="Q226" i="118"/>
  <c r="K226" i="118"/>
  <c r="Q225" i="118"/>
  <c r="O225" i="118"/>
  <c r="K225" i="118"/>
  <c r="C225" i="118"/>
  <c r="Q224" i="118"/>
  <c r="K224" i="118"/>
  <c r="Q223" i="118"/>
  <c r="O223" i="118"/>
  <c r="K223" i="118"/>
  <c r="C223" i="118" s="1"/>
  <c r="Q222" i="118"/>
  <c r="K222" i="118"/>
  <c r="Q221" i="118"/>
  <c r="O221" i="118"/>
  <c r="K221" i="118"/>
  <c r="C221" i="118"/>
  <c r="Q220" i="118"/>
  <c r="K220" i="118"/>
  <c r="Q219" i="118"/>
  <c r="O219" i="118"/>
  <c r="K219" i="118"/>
  <c r="C219" i="118" s="1"/>
  <c r="Q218" i="118"/>
  <c r="K218" i="118"/>
  <c r="Q217" i="118"/>
  <c r="O217" i="118"/>
  <c r="K217" i="118"/>
  <c r="C217" i="118"/>
  <c r="Q215" i="118"/>
  <c r="O215" i="118"/>
  <c r="K215" i="118"/>
  <c r="C215" i="118"/>
  <c r="Q213" i="118"/>
  <c r="O213" i="118"/>
  <c r="K213" i="118"/>
  <c r="C213" i="118"/>
  <c r="O211" i="118"/>
  <c r="C211" i="118"/>
  <c r="Q210" i="118"/>
  <c r="P210" i="118"/>
  <c r="O210" i="118"/>
  <c r="K210" i="118"/>
  <c r="J210" i="118"/>
  <c r="C210" i="118"/>
  <c r="U209" i="118"/>
  <c r="T209" i="118"/>
  <c r="Q209" i="118"/>
  <c r="P209" i="118"/>
  <c r="O209" i="118"/>
  <c r="J209" i="118"/>
  <c r="C209" i="118"/>
  <c r="O207" i="118"/>
  <c r="C207" i="118"/>
  <c r="O206" i="118"/>
  <c r="C206" i="118"/>
  <c r="O203" i="118"/>
  <c r="C203" i="118"/>
  <c r="O202" i="118"/>
  <c r="C202" i="118"/>
  <c r="O200" i="118"/>
  <c r="C200" i="118"/>
  <c r="O199" i="118"/>
  <c r="C199" i="118"/>
  <c r="O198" i="118"/>
  <c r="C198" i="118"/>
  <c r="O197" i="118"/>
  <c r="C197" i="118"/>
  <c r="O196" i="118"/>
  <c r="C196" i="118"/>
  <c r="O195" i="118"/>
  <c r="C195" i="118"/>
  <c r="O194" i="118"/>
  <c r="C194" i="118"/>
  <c r="O193" i="118"/>
  <c r="C193" i="118"/>
  <c r="O192" i="118"/>
  <c r="C192" i="118"/>
  <c r="O190" i="118"/>
  <c r="C190" i="118"/>
  <c r="O189" i="118"/>
  <c r="C189" i="118"/>
  <c r="O187" i="118"/>
  <c r="D187" i="118"/>
  <c r="C187" i="118"/>
  <c r="O185" i="118"/>
  <c r="C185" i="118"/>
  <c r="O184" i="118"/>
  <c r="D184" i="118"/>
  <c r="C184" i="118"/>
  <c r="O182" i="118"/>
  <c r="C182" i="118"/>
  <c r="O181" i="118"/>
  <c r="C181" i="118"/>
  <c r="O179" i="118"/>
  <c r="C179" i="118"/>
  <c r="O178" i="118"/>
  <c r="C178" i="118"/>
  <c r="O177" i="118"/>
  <c r="C177" i="118"/>
  <c r="O176" i="118"/>
  <c r="C176" i="118"/>
  <c r="O174" i="118"/>
  <c r="C174" i="118"/>
  <c r="O173" i="118"/>
  <c r="C173" i="118"/>
  <c r="O172" i="118"/>
  <c r="C172" i="118"/>
  <c r="O171" i="118"/>
  <c r="C171" i="118"/>
  <c r="O169" i="118"/>
  <c r="C169" i="118"/>
  <c r="O168" i="118"/>
  <c r="C168" i="118"/>
  <c r="O166" i="118"/>
  <c r="C166" i="118"/>
  <c r="O165" i="118"/>
  <c r="C165" i="118"/>
  <c r="Q163" i="118"/>
  <c r="O163" i="118"/>
  <c r="K163" i="118"/>
  <c r="C163" i="118"/>
  <c r="P161" i="118"/>
  <c r="Q161" i="118" s="1"/>
  <c r="O161" i="118"/>
  <c r="K161" i="118"/>
  <c r="C161" i="118" s="1"/>
  <c r="J161" i="118"/>
  <c r="Q159" i="118"/>
  <c r="O159" i="118"/>
  <c r="K159" i="118"/>
  <c r="C159" i="118"/>
  <c r="Q158" i="118"/>
  <c r="O158" i="118"/>
  <c r="K158" i="118"/>
  <c r="C158" i="118"/>
  <c r="Q157" i="118"/>
  <c r="O157" i="118"/>
  <c r="K157" i="118"/>
  <c r="C157" i="118"/>
  <c r="O155" i="118"/>
  <c r="C155" i="118"/>
  <c r="O154" i="118"/>
  <c r="C154" i="118"/>
  <c r="O153" i="118"/>
  <c r="C153" i="118"/>
  <c r="O152" i="118"/>
  <c r="C152" i="118"/>
  <c r="O151" i="118"/>
  <c r="C151" i="118"/>
  <c r="Q148" i="118"/>
  <c r="O148" i="118"/>
  <c r="K148" i="118"/>
  <c r="C148" i="118"/>
  <c r="Q147" i="118"/>
  <c r="O147" i="118"/>
  <c r="K147" i="118"/>
  <c r="C147" i="118"/>
  <c r="Q146" i="118"/>
  <c r="O146" i="118"/>
  <c r="K146" i="118"/>
  <c r="C146" i="118"/>
  <c r="Q145" i="118"/>
  <c r="O145" i="118"/>
  <c r="K145" i="118"/>
  <c r="C145" i="118"/>
  <c r="Q144" i="118"/>
  <c r="O144" i="118"/>
  <c r="K144" i="118"/>
  <c r="C144" i="118"/>
  <c r="Q143" i="118"/>
  <c r="O143" i="118"/>
  <c r="K143" i="118"/>
  <c r="C143" i="118"/>
  <c r="Q142" i="118"/>
  <c r="O142" i="118"/>
  <c r="K142" i="118"/>
  <c r="C142" i="118"/>
  <c r="Q141" i="118"/>
  <c r="O141" i="118"/>
  <c r="K141" i="118"/>
  <c r="C141" i="118"/>
  <c r="Q140" i="118"/>
  <c r="O140" i="118"/>
  <c r="K140" i="118"/>
  <c r="C140" i="118"/>
  <c r="Q138" i="118"/>
  <c r="O138" i="118"/>
  <c r="K138" i="118"/>
  <c r="C138" i="118"/>
  <c r="Q137" i="118"/>
  <c r="O137" i="118"/>
  <c r="K137" i="118"/>
  <c r="C137" i="118"/>
  <c r="Q136" i="118"/>
  <c r="O136" i="118"/>
  <c r="K136" i="118"/>
  <c r="C136" i="118"/>
  <c r="Q135" i="118"/>
  <c r="O135" i="118"/>
  <c r="K135" i="118"/>
  <c r="C135" i="118"/>
  <c r="Q134" i="118"/>
  <c r="O134" i="118"/>
  <c r="K134" i="118"/>
  <c r="C134" i="118"/>
  <c r="Q133" i="118"/>
  <c r="O133" i="118"/>
  <c r="K133" i="118"/>
  <c r="C133" i="118"/>
  <c r="Q132" i="118"/>
  <c r="O132" i="118"/>
  <c r="K132" i="118"/>
  <c r="C132" i="118"/>
  <c r="Q130" i="118"/>
  <c r="O130" i="118"/>
  <c r="K130" i="118"/>
  <c r="C130" i="118"/>
  <c r="Q129" i="118"/>
  <c r="O129" i="118"/>
  <c r="K129" i="118"/>
  <c r="C129" i="118"/>
  <c r="Q128" i="118"/>
  <c r="O128" i="118"/>
  <c r="K128" i="118"/>
  <c r="C128" i="118"/>
  <c r="Q127" i="118"/>
  <c r="O127" i="118"/>
  <c r="K127" i="118"/>
  <c r="C127" i="118"/>
  <c r="Q126" i="118"/>
  <c r="O126" i="118"/>
  <c r="K126" i="118"/>
  <c r="C126" i="118"/>
  <c r="Q124" i="118"/>
  <c r="O124" i="118"/>
  <c r="K124" i="118"/>
  <c r="C124" i="118"/>
  <c r="Q123" i="118"/>
  <c r="O123" i="118"/>
  <c r="K123" i="118"/>
  <c r="C123" i="118"/>
  <c r="Q122" i="118"/>
  <c r="O122" i="118"/>
  <c r="K122" i="118"/>
  <c r="C122" i="118"/>
  <c r="Q121" i="118"/>
  <c r="O121" i="118"/>
  <c r="K121" i="118"/>
  <c r="C121" i="118"/>
  <c r="Q120" i="118"/>
  <c r="O120" i="118"/>
  <c r="K120" i="118"/>
  <c r="C120" i="118"/>
  <c r="Q119" i="118"/>
  <c r="O119" i="118"/>
  <c r="K119" i="118"/>
  <c r="C119" i="118"/>
  <c r="Q118" i="118"/>
  <c r="O118" i="118"/>
  <c r="K118" i="118"/>
  <c r="C118" i="118"/>
  <c r="Q117" i="118"/>
  <c r="O117" i="118"/>
  <c r="K117" i="118"/>
  <c r="C117" i="118"/>
  <c r="Q116" i="118"/>
  <c r="O116" i="118"/>
  <c r="K116" i="118"/>
  <c r="C116" i="118"/>
  <c r="Q115" i="118"/>
  <c r="O115" i="118"/>
  <c r="K115" i="118"/>
  <c r="C115" i="118"/>
  <c r="Q114" i="118"/>
  <c r="O114" i="118"/>
  <c r="K114" i="118"/>
  <c r="C114" i="118"/>
  <c r="Q112" i="118"/>
  <c r="P112" i="118"/>
  <c r="O112" i="118"/>
  <c r="K112" i="118"/>
  <c r="J112" i="118"/>
  <c r="E112" i="118"/>
  <c r="C112" i="118"/>
  <c r="Q111" i="118"/>
  <c r="P111" i="118"/>
  <c r="O111" i="118"/>
  <c r="K111" i="118"/>
  <c r="J111" i="118"/>
  <c r="E111" i="118"/>
  <c r="C111" i="118"/>
  <c r="Q110" i="118"/>
  <c r="P110" i="118"/>
  <c r="O110" i="118"/>
  <c r="K110" i="118"/>
  <c r="C110" i="118" s="1"/>
  <c r="J110" i="118"/>
  <c r="E110" i="118"/>
  <c r="Q109" i="118"/>
  <c r="P109" i="118"/>
  <c r="O109" i="118"/>
  <c r="K109" i="118"/>
  <c r="J109" i="118"/>
  <c r="E109" i="118"/>
  <c r="C109" i="118"/>
  <c r="O106" i="118"/>
  <c r="E106" i="118"/>
  <c r="C106" i="118"/>
  <c r="O105" i="118"/>
  <c r="E105" i="118"/>
  <c r="D105" i="118"/>
  <c r="C105" i="118"/>
  <c r="O104" i="118"/>
  <c r="E104" i="118"/>
  <c r="D104" i="118"/>
  <c r="C104" i="118"/>
  <c r="O103" i="118"/>
  <c r="E103" i="118"/>
  <c r="D103" i="118"/>
  <c r="C103" i="118"/>
  <c r="Q98" i="118"/>
  <c r="O98" i="118"/>
  <c r="K98" i="118"/>
  <c r="D96" i="118"/>
  <c r="D95" i="118"/>
  <c r="D94" i="118"/>
  <c r="D93" i="118"/>
  <c r="D92" i="118"/>
  <c r="D91" i="118"/>
  <c r="D90" i="118"/>
  <c r="Q88" i="118"/>
  <c r="O88" i="118"/>
  <c r="K88" i="118"/>
  <c r="Q87" i="118"/>
  <c r="O87" i="118"/>
  <c r="K87" i="118"/>
  <c r="O86" i="118"/>
  <c r="Q85" i="118"/>
  <c r="O85" i="118"/>
  <c r="K85" i="118"/>
  <c r="Q84" i="118"/>
  <c r="O84" i="118"/>
  <c r="K84" i="118"/>
  <c r="Q83" i="118"/>
  <c r="O83" i="118"/>
  <c r="K83" i="118"/>
  <c r="Q81" i="118"/>
  <c r="O81" i="118"/>
  <c r="K81" i="118"/>
  <c r="C81" i="118"/>
  <c r="Q80" i="118"/>
  <c r="O80" i="118"/>
  <c r="K80" i="118"/>
  <c r="C80" i="118"/>
  <c r="Q79" i="118"/>
  <c r="O79" i="118"/>
  <c r="K79" i="118"/>
  <c r="C79" i="118"/>
  <c r="Q78" i="118"/>
  <c r="O78" i="118"/>
  <c r="K78" i="118"/>
  <c r="C78" i="118"/>
  <c r="Q77" i="118"/>
  <c r="O77" i="118"/>
  <c r="K77" i="118"/>
  <c r="C77" i="118"/>
  <c r="Q76" i="118"/>
  <c r="O76" i="118"/>
  <c r="K76" i="118"/>
  <c r="C76" i="118"/>
  <c r="Q75" i="118"/>
  <c r="O75" i="118"/>
  <c r="K75" i="118"/>
  <c r="C75" i="118"/>
  <c r="Q73" i="118"/>
  <c r="O73" i="118"/>
  <c r="K73" i="118"/>
  <c r="Q72" i="118"/>
  <c r="O72" i="118"/>
  <c r="K72" i="118"/>
  <c r="Q71" i="118"/>
  <c r="O71" i="118"/>
  <c r="K71" i="118"/>
  <c r="Q70" i="118"/>
  <c r="O70" i="118"/>
  <c r="K70" i="118"/>
  <c r="Q69" i="118"/>
  <c r="O69" i="118"/>
  <c r="K69" i="118"/>
  <c r="Q68" i="118"/>
  <c r="O68" i="118"/>
  <c r="K68" i="118"/>
  <c r="Q67" i="118"/>
  <c r="O67" i="118"/>
  <c r="K67" i="118"/>
  <c r="Q66" i="118"/>
  <c r="O66" i="118"/>
  <c r="K66" i="118"/>
  <c r="Q65" i="118"/>
  <c r="O65" i="118"/>
  <c r="K65" i="118"/>
  <c r="Q64" i="118"/>
  <c r="O64" i="118"/>
  <c r="K64" i="118"/>
  <c r="Q63" i="118"/>
  <c r="O63" i="118"/>
  <c r="K63" i="118"/>
  <c r="Q62" i="118"/>
  <c r="O62" i="118"/>
  <c r="K62" i="118"/>
  <c r="Q61" i="118"/>
  <c r="O61" i="118"/>
  <c r="K61" i="118"/>
  <c r="P60" i="118"/>
  <c r="Q60" i="118" s="1"/>
  <c r="O60" i="118"/>
  <c r="J60" i="118"/>
  <c r="C60" i="118" s="1"/>
  <c r="Q59" i="118"/>
  <c r="O59" i="118"/>
  <c r="K59" i="118"/>
  <c r="Q57" i="118"/>
  <c r="J57" i="118"/>
  <c r="K57" i="118" s="1"/>
  <c r="Q56" i="118"/>
  <c r="J56" i="118"/>
  <c r="K56" i="118" s="1"/>
  <c r="Q55" i="118"/>
  <c r="J55" i="118"/>
  <c r="K55" i="118" s="1"/>
  <c r="Q54" i="118"/>
  <c r="J54" i="118"/>
  <c r="K54" i="118" s="1"/>
  <c r="Q53" i="118"/>
  <c r="J53" i="118"/>
  <c r="K53" i="118" s="1"/>
  <c r="Q52" i="118"/>
  <c r="J52" i="118"/>
  <c r="K52" i="118" s="1"/>
  <c r="O46" i="118"/>
  <c r="C46" i="118"/>
  <c r="O44" i="118"/>
  <c r="C44" i="118"/>
  <c r="C38" i="118"/>
  <c r="C39" i="118" s="1"/>
  <c r="C40" i="118" s="1"/>
  <c r="C41" i="118" s="1"/>
  <c r="C42" i="118" s="1"/>
  <c r="O36" i="118"/>
  <c r="C36" i="118"/>
  <c r="O34" i="118"/>
  <c r="C34" i="118"/>
  <c r="O32" i="118"/>
  <c r="C32" i="118"/>
  <c r="O30" i="118"/>
  <c r="C30" i="118"/>
  <c r="O28" i="118"/>
  <c r="C28" i="118"/>
  <c r="O26" i="118"/>
  <c r="C26" i="118"/>
  <c r="O24" i="118"/>
  <c r="C24" i="118"/>
  <c r="C19" i="118"/>
  <c r="C20" i="118" s="1"/>
  <c r="C21" i="118" s="1"/>
  <c r="C18" i="118"/>
  <c r="O16" i="118"/>
  <c r="C16" i="118"/>
  <c r="O14" i="118"/>
  <c r="C14" i="118"/>
  <c r="O12" i="118"/>
  <c r="C12" i="118"/>
  <c r="O10" i="118"/>
  <c r="C10" i="118"/>
  <c r="O8" i="118"/>
  <c r="C8" i="118"/>
  <c r="O6" i="118"/>
  <c r="C6" i="118"/>
  <c r="O4" i="118"/>
  <c r="C4" i="118"/>
  <c r="C175" i="39" l="1"/>
  <c r="K60" i="118"/>
  <c r="J178" i="39" l="1"/>
  <c r="J179" i="39"/>
  <c r="K179" i="39" s="1"/>
  <c r="J180" i="39"/>
  <c r="J183" i="39"/>
  <c r="J189" i="39"/>
  <c r="J190" i="39"/>
  <c r="J191" i="39"/>
  <c r="J192" i="39"/>
  <c r="J188" i="39"/>
  <c r="J185" i="39"/>
  <c r="J186" i="39"/>
  <c r="J187" i="39"/>
  <c r="J184" i="39"/>
  <c r="H26" i="18"/>
  <c r="C184" i="78"/>
  <c r="K86" i="39"/>
  <c r="K87" i="39"/>
  <c r="K88" i="39"/>
  <c r="K89" i="39"/>
  <c r="K90" i="39"/>
  <c r="K91" i="39"/>
  <c r="K92" i="39"/>
  <c r="K93" i="39"/>
  <c r="K94" i="39"/>
  <c r="K95" i="39"/>
  <c r="K96" i="39"/>
  <c r="K97" i="39"/>
  <c r="K98" i="39"/>
  <c r="K99" i="39"/>
  <c r="K100" i="39"/>
  <c r="K101" i="39"/>
  <c r="K102" i="39"/>
  <c r="K103" i="39"/>
  <c r="K104" i="39"/>
  <c r="K105" i="39"/>
  <c r="K106" i="39"/>
  <c r="K107" i="39"/>
  <c r="K108" i="39"/>
  <c r="K109" i="39"/>
  <c r="K110" i="39"/>
  <c r="K111" i="39"/>
  <c r="K112" i="39"/>
  <c r="K113" i="39"/>
  <c r="K114"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6" i="39"/>
  <c r="K77" i="39"/>
  <c r="K78" i="39"/>
  <c r="K79" i="39"/>
  <c r="K80" i="39"/>
  <c r="K81" i="39"/>
  <c r="K82" i="39"/>
  <c r="K83" i="39"/>
  <c r="K84" i="39"/>
  <c r="K85" i="39"/>
  <c r="K12" i="39"/>
  <c r="J112" i="39"/>
  <c r="J113" i="39"/>
  <c r="J104" i="39"/>
  <c r="J105" i="39"/>
  <c r="J106" i="39"/>
  <c r="J107" i="39"/>
  <c r="J108" i="39"/>
  <c r="J109" i="39"/>
  <c r="J110" i="39"/>
  <c r="J111" i="39"/>
  <c r="J86" i="39"/>
  <c r="J87" i="39"/>
  <c r="J88" i="39"/>
  <c r="J89" i="39"/>
  <c r="J90" i="39"/>
  <c r="J91" i="39"/>
  <c r="J92" i="39"/>
  <c r="J93" i="39"/>
  <c r="J94" i="39"/>
  <c r="J95" i="39"/>
  <c r="J96" i="39"/>
  <c r="J97" i="39"/>
  <c r="J98" i="39"/>
  <c r="J99" i="39"/>
  <c r="J100" i="39"/>
  <c r="J101" i="39"/>
  <c r="J102" i="39"/>
  <c r="J103" i="39"/>
  <c r="J70" i="39"/>
  <c r="J71" i="39"/>
  <c r="J72" i="39"/>
  <c r="J73" i="39"/>
  <c r="J74" i="39"/>
  <c r="J75" i="39"/>
  <c r="J76" i="39"/>
  <c r="J77" i="39"/>
  <c r="J78" i="39"/>
  <c r="J79" i="39"/>
  <c r="J80" i="39"/>
  <c r="J81" i="39"/>
  <c r="J82" i="39"/>
  <c r="J83" i="39"/>
  <c r="J84" i="39"/>
  <c r="J85" i="39"/>
  <c r="J65" i="39"/>
  <c r="J66" i="39"/>
  <c r="J67" i="39"/>
  <c r="J68" i="39"/>
  <c r="J69" i="39"/>
  <c r="J64" i="39"/>
  <c r="C26" i="39"/>
  <c r="C27" i="39"/>
  <c r="C28" i="39"/>
  <c r="C29" i="39"/>
  <c r="C30" i="39"/>
  <c r="C31" i="39"/>
  <c r="C32" i="39"/>
  <c r="C33" i="39"/>
  <c r="C34" i="39"/>
  <c r="C35" i="39"/>
  <c r="C36" i="39"/>
  <c r="C37" i="39"/>
  <c r="C38" i="39"/>
  <c r="C39" i="39"/>
  <c r="C40" i="39"/>
  <c r="C41" i="39"/>
  <c r="C42" i="39"/>
  <c r="C43" i="39"/>
  <c r="C44" i="39"/>
  <c r="C45" i="39"/>
  <c r="C46" i="39"/>
  <c r="C47" i="39"/>
  <c r="C48" i="39"/>
  <c r="C49" i="39"/>
  <c r="C50" i="39"/>
  <c r="C51"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86" i="39"/>
  <c r="C87" i="39"/>
  <c r="C88" i="39"/>
  <c r="C89" i="39"/>
  <c r="C90" i="39"/>
  <c r="C91" i="39"/>
  <c r="C92" i="39"/>
  <c r="C93" i="39"/>
  <c r="C94" i="39"/>
  <c r="C95" i="39"/>
  <c r="C96" i="39"/>
  <c r="C97" i="39"/>
  <c r="C98" i="39"/>
  <c r="C99" i="39"/>
  <c r="C100" i="39"/>
  <c r="C101" i="39"/>
  <c r="C102" i="39"/>
  <c r="C103" i="39"/>
  <c r="C104" i="39"/>
  <c r="C105" i="39"/>
  <c r="C106" i="39"/>
  <c r="C107" i="39"/>
  <c r="C108" i="39"/>
  <c r="C109" i="39"/>
  <c r="C110" i="39"/>
  <c r="C111" i="39"/>
  <c r="C112" i="39"/>
  <c r="C113" i="39"/>
  <c r="C114" i="39"/>
  <c r="C115" i="39"/>
  <c r="C116" i="39"/>
  <c r="C13" i="39"/>
  <c r="C14" i="39"/>
  <c r="C15" i="39"/>
  <c r="C16" i="39"/>
  <c r="C17" i="39"/>
  <c r="C18" i="39"/>
  <c r="C19" i="39"/>
  <c r="C20" i="39"/>
  <c r="C21" i="39"/>
  <c r="C22" i="39"/>
  <c r="C23" i="39"/>
  <c r="C24" i="39"/>
  <c r="C25" i="39"/>
  <c r="C12" i="39"/>
  <c r="K317" i="116"/>
  <c r="J317" i="116"/>
  <c r="C317" i="116"/>
  <c r="K316" i="116"/>
  <c r="J316" i="116"/>
  <c r="C316" i="116"/>
  <c r="K315" i="116"/>
  <c r="C315" i="116" s="1"/>
  <c r="J315" i="116"/>
  <c r="K314" i="116"/>
  <c r="J314" i="116"/>
  <c r="C314" i="116"/>
  <c r="C312" i="116"/>
  <c r="C311" i="116"/>
  <c r="C308" i="116"/>
  <c r="C307" i="116"/>
  <c r="C306" i="116"/>
  <c r="C304" i="116"/>
  <c r="D303" i="116"/>
  <c r="C303" i="116"/>
  <c r="C302" i="116"/>
  <c r="C301" i="116"/>
  <c r="K299" i="116"/>
  <c r="J299" i="116"/>
  <c r="C299" i="116"/>
  <c r="K298" i="116"/>
  <c r="J298" i="116"/>
  <c r="C298" i="116"/>
  <c r="K297" i="116"/>
  <c r="J297" i="116"/>
  <c r="C297" i="116"/>
  <c r="K296" i="116"/>
  <c r="C296" i="116" s="1"/>
  <c r="J296" i="116"/>
  <c r="K295" i="116"/>
  <c r="J295" i="116"/>
  <c r="C295" i="116"/>
  <c r="K294" i="116"/>
  <c r="J294" i="116"/>
  <c r="C294" i="116"/>
  <c r="K293" i="116"/>
  <c r="C293" i="116" s="1"/>
  <c r="J293" i="116"/>
  <c r="K292" i="116"/>
  <c r="J292" i="116"/>
  <c r="C292" i="116"/>
  <c r="K291" i="116"/>
  <c r="J291" i="116"/>
  <c r="C291" i="116"/>
  <c r="K290" i="116"/>
  <c r="C290" i="116" s="1"/>
  <c r="J290" i="116"/>
  <c r="C287" i="116"/>
  <c r="K286" i="116"/>
  <c r="C286" i="116"/>
  <c r="K283" i="116"/>
  <c r="C283" i="116"/>
  <c r="K282" i="116"/>
  <c r="C282" i="116"/>
  <c r="K281" i="116"/>
  <c r="C281" i="116" s="1"/>
  <c r="K280" i="116"/>
  <c r="C280" i="116"/>
  <c r="K279" i="116"/>
  <c r="C279" i="116"/>
  <c r="K278" i="116"/>
  <c r="C278" i="116"/>
  <c r="K277" i="116"/>
  <c r="C277" i="116" s="1"/>
  <c r="K276" i="116"/>
  <c r="C276" i="116"/>
  <c r="K275" i="116"/>
  <c r="C275" i="116"/>
  <c r="K274" i="116"/>
  <c r="C274" i="116"/>
  <c r="K273" i="116"/>
  <c r="C273" i="116" s="1"/>
  <c r="K270" i="116"/>
  <c r="C270" i="116"/>
  <c r="K269" i="116"/>
  <c r="C269" i="116"/>
  <c r="K268" i="116"/>
  <c r="C268" i="116"/>
  <c r="K267" i="116"/>
  <c r="C267" i="116" s="1"/>
  <c r="C264" i="116"/>
  <c r="D262" i="116"/>
  <c r="C262" i="116"/>
  <c r="D261" i="116"/>
  <c r="C261" i="116"/>
  <c r="D260" i="116"/>
  <c r="C260" i="116"/>
  <c r="D259" i="116"/>
  <c r="C259" i="116"/>
  <c r="D258" i="116"/>
  <c r="C258" i="116"/>
  <c r="K256" i="116"/>
  <c r="C256" i="116" s="1"/>
  <c r="K255" i="116"/>
  <c r="C255" i="116"/>
  <c r="K254" i="116"/>
  <c r="C254" i="116" s="1"/>
  <c r="K253" i="116"/>
  <c r="C253" i="116" s="1"/>
  <c r="J252" i="116"/>
  <c r="K251" i="116"/>
  <c r="C251" i="116"/>
  <c r="K250" i="116"/>
  <c r="C250" i="116" s="1"/>
  <c r="K249" i="116"/>
  <c r="C249" i="116" s="1"/>
  <c r="K248" i="116"/>
  <c r="C248" i="116"/>
  <c r="K247" i="116"/>
  <c r="C247" i="116"/>
  <c r="K246" i="116"/>
  <c r="C246" i="116" s="1"/>
  <c r="K245" i="116"/>
  <c r="C245" i="116"/>
  <c r="K244" i="116"/>
  <c r="C244" i="116"/>
  <c r="K243" i="116"/>
  <c r="C243" i="116"/>
  <c r="K242" i="116"/>
  <c r="C242" i="116" s="1"/>
  <c r="K241" i="116"/>
  <c r="C241" i="116"/>
  <c r="K240" i="116"/>
  <c r="C240" i="116"/>
  <c r="K239" i="116"/>
  <c r="C239" i="116"/>
  <c r="K238" i="116"/>
  <c r="C238" i="116"/>
  <c r="J237" i="116"/>
  <c r="K236" i="116"/>
  <c r="C236" i="116"/>
  <c r="K235" i="116"/>
  <c r="C235" i="116" s="1"/>
  <c r="K234" i="116"/>
  <c r="C234" i="116"/>
  <c r="K233" i="116"/>
  <c r="K232" i="116"/>
  <c r="C232" i="116" s="1"/>
  <c r="K231" i="116"/>
  <c r="K230" i="116"/>
  <c r="C230" i="116" s="1"/>
  <c r="K229" i="116"/>
  <c r="K228" i="116"/>
  <c r="C228" i="116"/>
  <c r="K227" i="116"/>
  <c r="K226" i="116"/>
  <c r="C226" i="116"/>
  <c r="K225" i="116"/>
  <c r="K224" i="116"/>
  <c r="C224" i="116" s="1"/>
  <c r="K223" i="116"/>
  <c r="K222" i="116"/>
  <c r="C222" i="116"/>
  <c r="K221" i="116"/>
  <c r="K220" i="116"/>
  <c r="C220" i="116"/>
  <c r="K219" i="116"/>
  <c r="K218" i="116"/>
  <c r="C218" i="116"/>
  <c r="K216" i="116"/>
  <c r="C216" i="116"/>
  <c r="K214" i="116"/>
  <c r="C214" i="116"/>
  <c r="C212" i="116"/>
  <c r="K211" i="116"/>
  <c r="J211" i="116"/>
  <c r="C211" i="116"/>
  <c r="P210" i="116"/>
  <c r="O210" i="116"/>
  <c r="K210" i="116"/>
  <c r="J210" i="116"/>
  <c r="C210" i="116"/>
  <c r="C208" i="116"/>
  <c r="C207" i="116"/>
  <c r="C205" i="116"/>
  <c r="C204" i="116"/>
  <c r="C203" i="116"/>
  <c r="C201" i="116"/>
  <c r="C200" i="116"/>
  <c r="C199" i="116"/>
  <c r="C198" i="116"/>
  <c r="C197" i="116"/>
  <c r="C196" i="116"/>
  <c r="C195" i="116"/>
  <c r="C194" i="116"/>
  <c r="C193" i="116"/>
  <c r="C192" i="116"/>
  <c r="C190" i="116"/>
  <c r="C189" i="116"/>
  <c r="D187" i="116"/>
  <c r="C187" i="116"/>
  <c r="C185" i="116"/>
  <c r="D184" i="116"/>
  <c r="C184" i="116"/>
  <c r="C182" i="116"/>
  <c r="C181" i="116"/>
  <c r="C179" i="116"/>
  <c r="C178" i="116"/>
  <c r="C177" i="116"/>
  <c r="C176" i="116"/>
  <c r="C174" i="116"/>
  <c r="C173" i="116"/>
  <c r="C172" i="116"/>
  <c r="C171" i="116"/>
  <c r="C169" i="116"/>
  <c r="C168" i="116"/>
  <c r="C166" i="116"/>
  <c r="C165" i="116"/>
  <c r="C164" i="116"/>
  <c r="C163" i="116"/>
  <c r="K161" i="116"/>
  <c r="C161" i="116"/>
  <c r="K159" i="116"/>
  <c r="J159" i="116"/>
  <c r="C159" i="116"/>
  <c r="K157" i="116"/>
  <c r="C157" i="116"/>
  <c r="K156" i="116"/>
  <c r="C156" i="116"/>
  <c r="K155" i="116"/>
  <c r="C155" i="116" s="1"/>
  <c r="C153" i="116"/>
  <c r="C152" i="116"/>
  <c r="C151" i="116"/>
  <c r="C150" i="116"/>
  <c r="C149" i="116"/>
  <c r="K146" i="116"/>
  <c r="C146" i="116"/>
  <c r="K145" i="116"/>
  <c r="C145" i="116" s="1"/>
  <c r="K144" i="116"/>
  <c r="C144" i="116"/>
  <c r="K143" i="116"/>
  <c r="C143" i="116" s="1"/>
  <c r="K142" i="116"/>
  <c r="C142" i="116"/>
  <c r="K141" i="116"/>
  <c r="C141" i="116" s="1"/>
  <c r="K140" i="116"/>
  <c r="C140" i="116"/>
  <c r="K139" i="116"/>
  <c r="C139" i="116" s="1"/>
  <c r="K138" i="116"/>
  <c r="C138" i="116"/>
  <c r="K136" i="116"/>
  <c r="C136" i="116" s="1"/>
  <c r="K135" i="116"/>
  <c r="C135" i="116"/>
  <c r="K134" i="116"/>
  <c r="C134" i="116" s="1"/>
  <c r="K133" i="116"/>
  <c r="C133" i="116"/>
  <c r="K132" i="116"/>
  <c r="C132" i="116" s="1"/>
  <c r="K131" i="116"/>
  <c r="C131" i="116"/>
  <c r="K130" i="116"/>
  <c r="C130" i="116" s="1"/>
  <c r="K128" i="116"/>
  <c r="C128" i="116"/>
  <c r="K127" i="116"/>
  <c r="C127" i="116" s="1"/>
  <c r="K126" i="116"/>
  <c r="C126" i="116"/>
  <c r="K125" i="116"/>
  <c r="C125" i="116" s="1"/>
  <c r="K124" i="116"/>
  <c r="C124" i="116"/>
  <c r="K122" i="116"/>
  <c r="C122" i="116" s="1"/>
  <c r="K121" i="116"/>
  <c r="C121" i="116"/>
  <c r="K120" i="116"/>
  <c r="C120" i="116" s="1"/>
  <c r="K119" i="116"/>
  <c r="C119" i="116"/>
  <c r="K118" i="116"/>
  <c r="C118" i="116" s="1"/>
  <c r="K117" i="116"/>
  <c r="C117" i="116"/>
  <c r="K116" i="116"/>
  <c r="C116" i="116" s="1"/>
  <c r="K115" i="116"/>
  <c r="C115" i="116"/>
  <c r="K114" i="116"/>
  <c r="C114" i="116" s="1"/>
  <c r="K113" i="116"/>
  <c r="C113" i="116"/>
  <c r="K112" i="116"/>
  <c r="C112" i="116" s="1"/>
  <c r="K110" i="116"/>
  <c r="C110" i="116" s="1"/>
  <c r="J110" i="116"/>
  <c r="K109" i="116"/>
  <c r="J109" i="116"/>
  <c r="C109" i="116"/>
  <c r="K108" i="116"/>
  <c r="C108" i="116" s="1"/>
  <c r="J108" i="116"/>
  <c r="K107" i="116"/>
  <c r="C107" i="116" s="1"/>
  <c r="J107" i="116"/>
  <c r="C104" i="116"/>
  <c r="C103" i="116"/>
  <c r="C102" i="116"/>
  <c r="C101" i="116"/>
  <c r="K99" i="116"/>
  <c r="C99" i="116"/>
  <c r="D97" i="116"/>
  <c r="D96" i="116"/>
  <c r="D95" i="116"/>
  <c r="D94" i="116"/>
  <c r="D93" i="116"/>
  <c r="D92" i="116"/>
  <c r="D91" i="116"/>
  <c r="K89" i="116"/>
  <c r="C89" i="116"/>
  <c r="K88" i="116"/>
  <c r="C88" i="116"/>
  <c r="C87" i="116"/>
  <c r="K86" i="116"/>
  <c r="C86" i="116"/>
  <c r="K85" i="116"/>
  <c r="C85" i="116"/>
  <c r="K84" i="116"/>
  <c r="C84" i="116"/>
  <c r="K82" i="116"/>
  <c r="J82" i="116"/>
  <c r="K81" i="116"/>
  <c r="J81" i="116" s="1"/>
  <c r="K80" i="116"/>
  <c r="J80" i="116"/>
  <c r="K79" i="116"/>
  <c r="J79" i="116" s="1"/>
  <c r="K78" i="116"/>
  <c r="J78" i="116"/>
  <c r="K77" i="116"/>
  <c r="J77" i="116" s="1"/>
  <c r="K76" i="116"/>
  <c r="J76" i="116"/>
  <c r="K74" i="116"/>
  <c r="C74" i="116"/>
  <c r="K73" i="116"/>
  <c r="C73" i="116"/>
  <c r="K72" i="116"/>
  <c r="C72" i="116"/>
  <c r="K71" i="116"/>
  <c r="C71" i="116"/>
  <c r="K70" i="116"/>
  <c r="C70" i="116"/>
  <c r="K69" i="116"/>
  <c r="C69" i="116"/>
  <c r="K68" i="116"/>
  <c r="C68" i="116"/>
  <c r="K67" i="116"/>
  <c r="C67" i="116"/>
  <c r="K66" i="116"/>
  <c r="C66" i="116"/>
  <c r="K65" i="116"/>
  <c r="C65" i="116"/>
  <c r="K64" i="116"/>
  <c r="C64" i="116"/>
  <c r="K63" i="116"/>
  <c r="C63" i="116"/>
  <c r="K62" i="116"/>
  <c r="C62" i="116"/>
  <c r="K61" i="116"/>
  <c r="C61" i="116"/>
  <c r="K60" i="116"/>
  <c r="C60" i="116"/>
  <c r="K59" i="116"/>
  <c r="C59" i="116"/>
  <c r="K57" i="116"/>
  <c r="K56" i="116"/>
  <c r="K55" i="116"/>
  <c r="K54" i="116"/>
  <c r="K53" i="116"/>
  <c r="K52" i="116"/>
  <c r="C46" i="116"/>
  <c r="C44" i="116"/>
  <c r="C36" i="116"/>
  <c r="C34" i="116"/>
  <c r="C32" i="116"/>
  <c r="C30" i="116"/>
  <c r="C28" i="116"/>
  <c r="C26" i="116"/>
  <c r="C24" i="116"/>
  <c r="C16" i="116"/>
  <c r="C14" i="116"/>
  <c r="C12" i="116"/>
  <c r="C10" i="116"/>
  <c r="C8" i="116"/>
  <c r="C6" i="116"/>
  <c r="C4" i="116"/>
  <c r="F16" i="18" l="1"/>
  <c r="K178" i="39" l="1"/>
  <c r="K180" i="39"/>
  <c r="K181" i="39"/>
  <c r="K182" i="39"/>
  <c r="K183" i="39"/>
  <c r="K184" i="39"/>
  <c r="K185" i="39"/>
  <c r="K186" i="39"/>
  <c r="K187" i="39"/>
  <c r="K188" i="39"/>
  <c r="K189" i="39"/>
  <c r="K190" i="39"/>
  <c r="K191" i="39"/>
  <c r="K192" i="39"/>
  <c r="N46" i="18"/>
  <c r="K26" i="78" l="1"/>
  <c r="K25" i="78"/>
  <c r="J25" i="78"/>
  <c r="K25" i="18"/>
  <c r="AD13" i="78"/>
  <c r="AF13" i="78"/>
  <c r="AF10" i="78"/>
  <c r="AC13" i="78" s="1"/>
  <c r="K46" i="78"/>
  <c r="J46" i="78"/>
  <c r="H46" i="78"/>
  <c r="G46" i="78"/>
  <c r="F46" i="78"/>
  <c r="AJ14" i="18"/>
  <c r="AH13" i="18" s="1"/>
  <c r="AJ11" i="18"/>
  <c r="AG13" i="18" s="1"/>
  <c r="G45" i="18"/>
  <c r="H45" i="18" s="1"/>
  <c r="J45" i="18" s="1"/>
  <c r="F45" i="18"/>
  <c r="E50" i="18"/>
  <c r="F50" i="18"/>
  <c r="G50" i="18"/>
  <c r="H50" i="18"/>
  <c r="J50" i="18"/>
  <c r="K50" i="18"/>
  <c r="N50" i="18"/>
  <c r="U50" i="18" s="1"/>
  <c r="E51" i="18"/>
  <c r="F51" i="18"/>
  <c r="G51" i="18"/>
  <c r="H51" i="18"/>
  <c r="J51" i="18"/>
  <c r="K51" i="18"/>
  <c r="N51" i="18"/>
  <c r="E52" i="18"/>
  <c r="F52" i="18"/>
  <c r="G52" i="18"/>
  <c r="H52" i="18"/>
  <c r="J52" i="18"/>
  <c r="K52" i="18"/>
  <c r="N52" i="18"/>
  <c r="U52" i="18" s="1"/>
  <c r="K45" i="18" l="1"/>
  <c r="K194" i="39" l="1"/>
  <c r="N23" i="18" l="1"/>
  <c r="U23" i="18" s="1"/>
  <c r="E20" i="18" l="1"/>
  <c r="D270" i="39" l="1"/>
  <c r="J70" i="18" l="1"/>
  <c r="H17" i="18"/>
  <c r="J17" i="18" s="1"/>
  <c r="J27" i="18"/>
  <c r="J66" i="78"/>
  <c r="J65" i="78"/>
  <c r="J64" i="78"/>
  <c r="J63" i="78"/>
  <c r="J62" i="78"/>
  <c r="G17" i="78"/>
  <c r="F18" i="78"/>
  <c r="F43" i="78"/>
  <c r="E21" i="78"/>
  <c r="G21" i="78"/>
  <c r="H21" i="78" s="1"/>
  <c r="J21" i="78" s="1"/>
  <c r="F21" i="78"/>
  <c r="F46" i="18"/>
  <c r="F44" i="18"/>
  <c r="F43" i="18"/>
  <c r="F42" i="18"/>
  <c r="F41" i="18"/>
  <c r="F40" i="18"/>
  <c r="K66" i="78"/>
  <c r="H66" i="78"/>
  <c r="G66" i="78"/>
  <c r="F66" i="78"/>
  <c r="E66" i="78"/>
  <c r="K65" i="78"/>
  <c r="H65" i="78"/>
  <c r="G65" i="78"/>
  <c r="F65" i="78"/>
  <c r="E65" i="78"/>
  <c r="K64" i="78"/>
  <c r="H64" i="78"/>
  <c r="G64" i="78"/>
  <c r="F64" i="78"/>
  <c r="E64" i="78"/>
  <c r="K63" i="78"/>
  <c r="H63" i="78"/>
  <c r="G63" i="78"/>
  <c r="F63" i="78"/>
  <c r="E63" i="78"/>
  <c r="K62" i="78"/>
  <c r="H62" i="78"/>
  <c r="G62" i="78"/>
  <c r="F62" i="78"/>
  <c r="E62" i="78"/>
  <c r="G61" i="78"/>
  <c r="H61" i="78" s="1"/>
  <c r="J61" i="78" s="1"/>
  <c r="F61" i="78"/>
  <c r="E61" i="78"/>
  <c r="G41" i="78"/>
  <c r="H41" i="78" s="1"/>
  <c r="J41" i="78" s="1"/>
  <c r="F41" i="78"/>
  <c r="E41" i="78"/>
  <c r="E42" i="78"/>
  <c r="F42" i="78"/>
  <c r="G42" i="78"/>
  <c r="H42" i="78"/>
  <c r="J42" i="78" s="1"/>
  <c r="E43" i="78"/>
  <c r="G43" i="78"/>
  <c r="H43" i="78" s="1"/>
  <c r="J43" i="78" s="1"/>
  <c r="E44" i="78"/>
  <c r="F44" i="78"/>
  <c r="G44" i="78"/>
  <c r="H44" i="78" s="1"/>
  <c r="J44" i="78" s="1"/>
  <c r="E45" i="78"/>
  <c r="F45" i="78"/>
  <c r="G45" i="78"/>
  <c r="H45" i="78" s="1"/>
  <c r="J45" i="78" s="1"/>
  <c r="E46" i="78"/>
  <c r="E47" i="78"/>
  <c r="F47" i="78"/>
  <c r="G47" i="78"/>
  <c r="H47" i="78" s="1"/>
  <c r="J47" i="78" s="1"/>
  <c r="G25" i="78"/>
  <c r="H25" i="78" s="1"/>
  <c r="F25" i="78"/>
  <c r="E25" i="78"/>
  <c r="G28" i="78"/>
  <c r="H28" i="78" s="1"/>
  <c r="F28" i="78"/>
  <c r="E28" i="78"/>
  <c r="G27" i="78"/>
  <c r="H27" i="78" s="1"/>
  <c r="F27" i="78"/>
  <c r="E27" i="78"/>
  <c r="G22" i="78"/>
  <c r="H22" i="78" s="1"/>
  <c r="J22" i="78" s="1"/>
  <c r="F22" i="78"/>
  <c r="E22" i="78"/>
  <c r="G20" i="78"/>
  <c r="H20" i="78" s="1"/>
  <c r="J20" i="78" s="1"/>
  <c r="F20" i="78"/>
  <c r="E20" i="78"/>
  <c r="G19" i="78"/>
  <c r="H19" i="78" s="1"/>
  <c r="J19" i="78" s="1"/>
  <c r="F19" i="78"/>
  <c r="E19" i="78"/>
  <c r="G18" i="78"/>
  <c r="H18" i="78" s="1"/>
  <c r="J18" i="78" s="1"/>
  <c r="E18" i="78"/>
  <c r="H17" i="78"/>
  <c r="J17" i="78" s="1"/>
  <c r="F17" i="78"/>
  <c r="E17" i="78"/>
  <c r="G16" i="78"/>
  <c r="H16" i="78" s="1"/>
  <c r="J16" i="78" s="1"/>
  <c r="F16" i="78"/>
  <c r="E16" i="78"/>
  <c r="K70" i="18"/>
  <c r="H70" i="18"/>
  <c r="G70" i="18"/>
  <c r="F70" i="18"/>
  <c r="E70" i="18"/>
  <c r="G69" i="18"/>
  <c r="H69" i="18" s="1"/>
  <c r="J69" i="18" s="1"/>
  <c r="F69" i="18"/>
  <c r="E69" i="18"/>
  <c r="H68" i="18"/>
  <c r="J68" i="18" s="1"/>
  <c r="K68" i="18" s="1"/>
  <c r="G68" i="18"/>
  <c r="F68" i="18"/>
  <c r="E68" i="18"/>
  <c r="G67" i="18"/>
  <c r="H67" i="18" s="1"/>
  <c r="J67" i="18" s="1"/>
  <c r="F67" i="18"/>
  <c r="E67" i="18"/>
  <c r="G66" i="18"/>
  <c r="H66" i="18" s="1"/>
  <c r="J66" i="18" s="1"/>
  <c r="F66" i="18"/>
  <c r="E66" i="18"/>
  <c r="G65" i="18"/>
  <c r="H65" i="18" s="1"/>
  <c r="J65" i="18" s="1"/>
  <c r="F65" i="18"/>
  <c r="E65" i="18"/>
  <c r="G46" i="18"/>
  <c r="H46" i="18" s="1"/>
  <c r="J46" i="18" s="1"/>
  <c r="E46" i="18"/>
  <c r="E45" i="18"/>
  <c r="G44" i="18"/>
  <c r="H44" i="18" s="1"/>
  <c r="J44" i="18" s="1"/>
  <c r="E44" i="18"/>
  <c r="G43" i="18"/>
  <c r="H43" i="18" s="1"/>
  <c r="J43" i="18" s="1"/>
  <c r="E43" i="18"/>
  <c r="G42" i="18"/>
  <c r="H42" i="18" s="1"/>
  <c r="J42" i="18" s="1"/>
  <c r="E42" i="18"/>
  <c r="H41" i="18"/>
  <c r="J41" i="18" s="1"/>
  <c r="G41" i="18"/>
  <c r="E41" i="18"/>
  <c r="G40" i="18"/>
  <c r="H40" i="18" s="1"/>
  <c r="J40" i="18" s="1"/>
  <c r="E40" i="18"/>
  <c r="G26" i="18"/>
  <c r="J26" i="18" s="1"/>
  <c r="G27" i="18"/>
  <c r="H27" i="18" s="1"/>
  <c r="F26" i="18"/>
  <c r="F27" i="18"/>
  <c r="E26" i="18"/>
  <c r="E27" i="18"/>
  <c r="K61" i="78" l="1"/>
  <c r="K67" i="18"/>
  <c r="K65" i="18"/>
  <c r="K66" i="18"/>
  <c r="K69" i="18"/>
  <c r="K46" i="18"/>
  <c r="K40" i="18"/>
  <c r="K41" i="18"/>
  <c r="K43" i="18"/>
  <c r="K44" i="18"/>
  <c r="K42" i="18"/>
  <c r="K21" i="78"/>
  <c r="G183" i="78"/>
  <c r="G187" i="78"/>
  <c r="G184" i="78"/>
  <c r="G181" i="78"/>
  <c r="G185" i="78"/>
  <c r="G186" i="18"/>
  <c r="G182" i="78"/>
  <c r="J28" i="78"/>
  <c r="K28" i="78" s="1"/>
  <c r="J27" i="78"/>
  <c r="K27" i="78" s="1"/>
  <c r="K42" i="78"/>
  <c r="K41" i="78"/>
  <c r="K43" i="78"/>
  <c r="K45" i="78"/>
  <c r="K17" i="78"/>
  <c r="K16" i="78"/>
  <c r="K18" i="78"/>
  <c r="K47" i="78"/>
  <c r="K44" i="78"/>
  <c r="K22" i="78"/>
  <c r="K19" i="78"/>
  <c r="K20" i="78"/>
  <c r="K54" i="18" l="1"/>
  <c r="K50" i="78"/>
  <c r="D132" i="78" l="1"/>
  <c r="E184" i="78"/>
  <c r="E183" i="78"/>
  <c r="F18" i="18"/>
  <c r="E193" i="78"/>
  <c r="E192" i="78"/>
  <c r="E191" i="78"/>
  <c r="E187" i="78"/>
  <c r="E185" i="78"/>
  <c r="E182" i="78"/>
  <c r="E181" i="78"/>
  <c r="E212" i="18"/>
  <c r="F19" i="18"/>
  <c r="E210" i="18"/>
  <c r="E211" i="18"/>
  <c r="E213" i="18"/>
  <c r="E214" i="18"/>
  <c r="E215" i="18"/>
  <c r="E209" i="18"/>
  <c r="E196" i="18"/>
  <c r="E195" i="18"/>
  <c r="E194" i="18"/>
  <c r="G17" i="18"/>
  <c r="G18" i="18"/>
  <c r="G19" i="18"/>
  <c r="G20" i="18"/>
  <c r="G21" i="18"/>
  <c r="H21" i="18" s="1"/>
  <c r="J21" i="18" s="1"/>
  <c r="G22" i="18"/>
  <c r="H22" i="18" s="1"/>
  <c r="G16" i="18"/>
  <c r="F17" i="18"/>
  <c r="F20" i="18"/>
  <c r="F21" i="18"/>
  <c r="F22" i="18"/>
  <c r="E17" i="18"/>
  <c r="E18" i="18"/>
  <c r="E19" i="18"/>
  <c r="E21" i="18"/>
  <c r="E22" i="18"/>
  <c r="E16" i="18"/>
  <c r="D239" i="39"/>
  <c r="D238" i="39"/>
  <c r="D237" i="39"/>
  <c r="D236" i="39"/>
  <c r="D105" i="39"/>
  <c r="D108" i="39"/>
  <c r="D109" i="39"/>
  <c r="D110" i="39"/>
  <c r="D111" i="39"/>
  <c r="D107" i="39"/>
  <c r="D106" i="39"/>
  <c r="H16" i="18" l="1"/>
  <c r="J16" i="18" s="1"/>
  <c r="G185" i="18"/>
  <c r="H18" i="18"/>
  <c r="J18" i="18" s="1"/>
  <c r="G187" i="18"/>
  <c r="H20" i="18"/>
  <c r="J20" i="18" s="1"/>
  <c r="G189" i="18"/>
  <c r="H19" i="18"/>
  <c r="J19" i="18" s="1"/>
  <c r="G188" i="18"/>
  <c r="J22" i="18"/>
  <c r="G191" i="18"/>
  <c r="E186" i="78"/>
  <c r="AD31" i="4"/>
  <c r="AD30" i="4"/>
  <c r="AC28" i="4"/>
  <c r="AC27" i="4"/>
  <c r="AC24" i="4"/>
  <c r="AC23" i="4"/>
  <c r="AC22" i="4"/>
  <c r="AC21" i="4"/>
  <c r="AC20" i="4"/>
  <c r="Q20" i="4"/>
  <c r="AC19" i="4"/>
  <c r="AC18" i="4"/>
  <c r="Q18" i="4"/>
  <c r="AC17" i="4"/>
  <c r="AG16" i="4"/>
  <c r="AC16" i="4"/>
  <c r="AG15" i="4"/>
  <c r="AC15" i="4"/>
  <c r="X15" i="4"/>
  <c r="Q15" i="4"/>
  <c r="AG14" i="4"/>
  <c r="AC14" i="4"/>
  <c r="X14" i="4"/>
  <c r="AG13" i="4"/>
  <c r="AC13" i="4"/>
  <c r="X13" i="4"/>
  <c r="Q13" i="4"/>
  <c r="A10" i="34"/>
  <c r="A9" i="34"/>
  <c r="A8" i="34"/>
  <c r="A7" i="34"/>
  <c r="A6" i="34"/>
  <c r="A5" i="34"/>
  <c r="A4" i="34"/>
  <c r="A3" i="34"/>
  <c r="A2" i="34"/>
  <c r="C212" i="78"/>
  <c r="G212" i="78" s="1"/>
  <c r="C211" i="78"/>
  <c r="C210" i="78"/>
  <c r="G210" i="78" s="1"/>
  <c r="E209" i="78"/>
  <c r="C209" i="78"/>
  <c r="G209" i="78" s="1"/>
  <c r="C208" i="78"/>
  <c r="G208" i="78" s="1"/>
  <c r="C207" i="78"/>
  <c r="G207" i="78" s="1"/>
  <c r="C206" i="78"/>
  <c r="G206" i="78" s="1"/>
  <c r="C193" i="78"/>
  <c r="G193" i="78" s="1"/>
  <c r="C192" i="78"/>
  <c r="G192" i="78" s="1"/>
  <c r="G191" i="78"/>
  <c r="C190" i="78"/>
  <c r="G190" i="78" s="1"/>
  <c r="C187" i="78"/>
  <c r="C186" i="78"/>
  <c r="C185" i="78"/>
  <c r="C183" i="78"/>
  <c r="C182" i="78"/>
  <c r="F182" i="78" s="1"/>
  <c r="C181" i="78"/>
  <c r="I183" i="78"/>
  <c r="C172" i="78"/>
  <c r="C171" i="78"/>
  <c r="C170" i="78"/>
  <c r="C169" i="78"/>
  <c r="C97" i="78"/>
  <c r="C96" i="78"/>
  <c r="C95" i="78"/>
  <c r="C94" i="78"/>
  <c r="N48" i="78"/>
  <c r="N47" i="78"/>
  <c r="O47" i="78" s="1"/>
  <c r="E212" i="78"/>
  <c r="E211" i="78"/>
  <c r="E210" i="78"/>
  <c r="N44" i="78"/>
  <c r="N43" i="78"/>
  <c r="O43" i="78" s="1"/>
  <c r="S43" i="78" s="1"/>
  <c r="U43" i="78" s="1"/>
  <c r="E208" i="78"/>
  <c r="Q42" i="78"/>
  <c r="N42" i="78"/>
  <c r="O42" i="78" s="1"/>
  <c r="E207" i="78"/>
  <c r="N41" i="78"/>
  <c r="U41" i="78" s="1"/>
  <c r="E206" i="78"/>
  <c r="K30" i="78"/>
  <c r="E190" i="78"/>
  <c r="N23" i="78"/>
  <c r="U23" i="78" s="1"/>
  <c r="N21" i="78"/>
  <c r="N19" i="78"/>
  <c r="U19" i="78" s="1"/>
  <c r="N17" i="78"/>
  <c r="O17" i="78" s="1"/>
  <c r="S17" i="78" s="1"/>
  <c r="N15" i="78"/>
  <c r="U15" i="78" s="1"/>
  <c r="Q13" i="78"/>
  <c r="N13" i="78"/>
  <c r="C3" i="78"/>
  <c r="C215" i="18"/>
  <c r="C214" i="18"/>
  <c r="C213" i="18"/>
  <c r="C212" i="18"/>
  <c r="C211" i="18"/>
  <c r="C210" i="18"/>
  <c r="C209" i="18"/>
  <c r="C196" i="18"/>
  <c r="C195" i="18"/>
  <c r="C194" i="18"/>
  <c r="C191" i="18"/>
  <c r="H191" i="18" s="1"/>
  <c r="C190" i="18"/>
  <c r="C189" i="18"/>
  <c r="C188" i="18"/>
  <c r="H188" i="18" s="1"/>
  <c r="C187" i="18"/>
  <c r="H187" i="18" s="1"/>
  <c r="C186" i="18"/>
  <c r="H186" i="18" s="1"/>
  <c r="C185" i="18"/>
  <c r="F185" i="18" s="1"/>
  <c r="C176" i="18"/>
  <c r="C175" i="18"/>
  <c r="C174" i="18"/>
  <c r="C173" i="18"/>
  <c r="C101" i="18"/>
  <c r="C100" i="18"/>
  <c r="C99" i="18"/>
  <c r="C98" i="18"/>
  <c r="N47" i="18"/>
  <c r="N43" i="18"/>
  <c r="N42" i="18"/>
  <c r="O42" i="18" s="1"/>
  <c r="S42" i="18" s="1"/>
  <c r="U42" i="18" s="1"/>
  <c r="Q41" i="18"/>
  <c r="N41" i="18"/>
  <c r="O41" i="18" s="1"/>
  <c r="N40" i="18"/>
  <c r="U40" i="18" s="1"/>
  <c r="K27" i="18"/>
  <c r="K26" i="18"/>
  <c r="E191" i="18"/>
  <c r="N21" i="18"/>
  <c r="E189" i="18"/>
  <c r="N19" i="18"/>
  <c r="U19" i="18" s="1"/>
  <c r="E188" i="18"/>
  <c r="E187" i="18"/>
  <c r="N17" i="18"/>
  <c r="O17" i="18" s="1"/>
  <c r="S17" i="18" s="1"/>
  <c r="E186" i="18"/>
  <c r="E185" i="18"/>
  <c r="N15" i="18"/>
  <c r="U15" i="18" s="1"/>
  <c r="Q13" i="18"/>
  <c r="N13" i="18"/>
  <c r="C3" i="18"/>
  <c r="C64" i="35"/>
  <c r="C63" i="35"/>
  <c r="C62" i="35"/>
  <c r="C61" i="35"/>
  <c r="C60" i="35"/>
  <c r="C59" i="35"/>
  <c r="C58" i="35"/>
  <c r="C57" i="35"/>
  <c r="C56" i="35"/>
  <c r="C55" i="35"/>
  <c r="C54" i="35"/>
  <c r="C53" i="35"/>
  <c r="C52" i="35"/>
  <c r="C51" i="35"/>
  <c r="C50" i="35"/>
  <c r="C49" i="35"/>
  <c r="C48" i="35"/>
  <c r="C47" i="35"/>
  <c r="C46" i="35"/>
  <c r="C45" i="35"/>
  <c r="C44" i="35"/>
  <c r="C43" i="35"/>
  <c r="C42" i="35"/>
  <c r="C41" i="35"/>
  <c r="C40" i="35"/>
  <c r="C39" i="35"/>
  <c r="C38" i="35"/>
  <c r="C37" i="35"/>
  <c r="C36" i="35"/>
  <c r="C35" i="35"/>
  <c r="C34" i="35"/>
  <c r="C33" i="35"/>
  <c r="C32" i="35"/>
  <c r="C31" i="35"/>
  <c r="C30" i="35"/>
  <c r="C29" i="35"/>
  <c r="C28" i="35"/>
  <c r="C27" i="35"/>
  <c r="C26" i="35"/>
  <c r="C25" i="35"/>
  <c r="C24" i="35"/>
  <c r="C23" i="35"/>
  <c r="C22" i="35"/>
  <c r="C21" i="35"/>
  <c r="C20" i="35"/>
  <c r="C19" i="35"/>
  <c r="C18" i="35"/>
  <c r="C17" i="35"/>
  <c r="C16" i="35"/>
  <c r="C15" i="35"/>
  <c r="C14" i="35"/>
  <c r="C13" i="35"/>
  <c r="C12" i="35"/>
  <c r="C11" i="35"/>
  <c r="C10" i="35"/>
  <c r="C9" i="35"/>
  <c r="C8" i="35"/>
  <c r="C7" i="35"/>
  <c r="C6" i="35"/>
  <c r="C5" i="35"/>
  <c r="K211" i="78" l="1"/>
  <c r="J211" i="78"/>
  <c r="I211" i="78"/>
  <c r="H211" i="78"/>
  <c r="G211" i="78"/>
  <c r="F211" i="78"/>
  <c r="I214" i="18"/>
  <c r="H214" i="18"/>
  <c r="G214" i="18"/>
  <c r="F214" i="18"/>
  <c r="F194" i="18"/>
  <c r="G194" i="18"/>
  <c r="I206" i="78"/>
  <c r="F195" i="18"/>
  <c r="G195" i="18"/>
  <c r="G196" i="18"/>
  <c r="F196" i="18"/>
  <c r="H185" i="18"/>
  <c r="U21" i="18"/>
  <c r="H181" i="78"/>
  <c r="F181" i="78"/>
  <c r="I210" i="78"/>
  <c r="I207" i="78"/>
  <c r="J207" i="78" s="1"/>
  <c r="I187" i="78"/>
  <c r="I185" i="78"/>
  <c r="I182" i="78"/>
  <c r="J182" i="78" s="1"/>
  <c r="K182" i="78" s="1"/>
  <c r="I184" i="78"/>
  <c r="I181" i="78"/>
  <c r="G186" i="78"/>
  <c r="I186" i="78"/>
  <c r="H186" i="78"/>
  <c r="F186" i="78"/>
  <c r="F183" i="78"/>
  <c r="J183" i="78" s="1"/>
  <c r="K183" i="78" s="1"/>
  <c r="H183" i="78"/>
  <c r="I187" i="18"/>
  <c r="I189" i="18"/>
  <c r="I185" i="18"/>
  <c r="J185" i="18" s="1"/>
  <c r="K185" i="18" s="1"/>
  <c r="I191" i="18"/>
  <c r="H215" i="18"/>
  <c r="G215" i="18"/>
  <c r="F215" i="18"/>
  <c r="I215" i="18"/>
  <c r="I213" i="18"/>
  <c r="G213" i="18"/>
  <c r="H213" i="18"/>
  <c r="F213" i="18"/>
  <c r="G212" i="18"/>
  <c r="H212" i="18"/>
  <c r="I212" i="18"/>
  <c r="F212" i="18"/>
  <c r="F211" i="18"/>
  <c r="I211" i="18"/>
  <c r="G211" i="18"/>
  <c r="H211" i="18"/>
  <c r="G210" i="18"/>
  <c r="I210" i="18"/>
  <c r="J210" i="18" s="1"/>
  <c r="F210" i="18"/>
  <c r="H210" i="18"/>
  <c r="H209" i="18"/>
  <c r="G209" i="18"/>
  <c r="F209" i="18"/>
  <c r="I209" i="18"/>
  <c r="F189" i="18"/>
  <c r="H189" i="18"/>
  <c r="H184" i="78"/>
  <c r="F184" i="78"/>
  <c r="U21" i="78"/>
  <c r="G190" i="18"/>
  <c r="H212" i="78"/>
  <c r="F210" i="78"/>
  <c r="H210" i="78"/>
  <c r="I209" i="78"/>
  <c r="H209" i="78"/>
  <c r="I208" i="78"/>
  <c r="H208" i="78"/>
  <c r="H207" i="78"/>
  <c r="H206" i="78"/>
  <c r="I193" i="78"/>
  <c r="F193" i="78"/>
  <c r="J193" i="78" s="1"/>
  <c r="I192" i="78"/>
  <c r="F192" i="78"/>
  <c r="J192" i="78" s="1"/>
  <c r="K192" i="78" s="1"/>
  <c r="F191" i="78"/>
  <c r="I191" i="78"/>
  <c r="F190" i="78"/>
  <c r="I190" i="78"/>
  <c r="I186" i="18"/>
  <c r="J186" i="18" s="1"/>
  <c r="F207" i="78"/>
  <c r="F212" i="78"/>
  <c r="I212" i="78"/>
  <c r="F209" i="78"/>
  <c r="J209" i="78" s="1"/>
  <c r="K209" i="78" s="1"/>
  <c r="F208" i="78"/>
  <c r="F206" i="78"/>
  <c r="J206" i="78" s="1"/>
  <c r="H193" i="78"/>
  <c r="H192" i="78"/>
  <c r="H190" i="78"/>
  <c r="H191" i="78"/>
  <c r="H187" i="78"/>
  <c r="F187" i="78"/>
  <c r="H196" i="18"/>
  <c r="H195" i="18"/>
  <c r="H194" i="18"/>
  <c r="H185" i="78"/>
  <c r="F185" i="78"/>
  <c r="H182" i="78"/>
  <c r="F187" i="18"/>
  <c r="I195" i="18"/>
  <c r="I194" i="18"/>
  <c r="F188" i="18"/>
  <c r="I196" i="18"/>
  <c r="J196" i="18" s="1"/>
  <c r="H190" i="18"/>
  <c r="I188" i="18"/>
  <c r="F186" i="18"/>
  <c r="E190" i="18"/>
  <c r="I190" i="18" s="1"/>
  <c r="F190" i="18"/>
  <c r="U46" i="18"/>
  <c r="O13" i="78"/>
  <c r="U17" i="78" s="1"/>
  <c r="U44" i="78"/>
  <c r="U13" i="18"/>
  <c r="U13" i="78"/>
  <c r="S46" i="18"/>
  <c r="U41" i="18"/>
  <c r="O46" i="18"/>
  <c r="U43" i="18" s="1"/>
  <c r="U42" i="78"/>
  <c r="U6" i="78"/>
  <c r="U47" i="78"/>
  <c r="F191" i="18"/>
  <c r="O13" i="18"/>
  <c r="U17" i="18" s="1"/>
  <c r="O21" i="18"/>
  <c r="S21" i="18"/>
  <c r="U6" i="18"/>
  <c r="O21" i="78"/>
  <c r="S47" i="78"/>
  <c r="S21" i="78"/>
  <c r="K21" i="18"/>
  <c r="K16" i="18"/>
  <c r="K18" i="18"/>
  <c r="K19" i="18"/>
  <c r="K17" i="18"/>
  <c r="K20" i="18"/>
  <c r="K22" i="18"/>
  <c r="J191" i="78" l="1"/>
  <c r="K191" i="78" s="1"/>
  <c r="J195" i="18"/>
  <c r="K195" i="18" s="1"/>
  <c r="J214" i="18"/>
  <c r="K214" i="18" s="1"/>
  <c r="J189" i="18"/>
  <c r="K189" i="18" s="1"/>
  <c r="D102" i="78"/>
  <c r="D137" i="18"/>
  <c r="D106" i="18"/>
  <c r="J191" i="18"/>
  <c r="K191" i="18" s="1"/>
  <c r="J187" i="78"/>
  <c r="K187" i="78" s="1"/>
  <c r="J185" i="78"/>
  <c r="K185" i="78" s="1"/>
  <c r="J186" i="78"/>
  <c r="K186" i="78" s="1"/>
  <c r="J184" i="78"/>
  <c r="K184" i="78" s="1"/>
  <c r="J187" i="18"/>
  <c r="K187" i="18" s="1"/>
  <c r="J211" i="18"/>
  <c r="K211" i="18" s="1"/>
  <c r="J215" i="18"/>
  <c r="K215" i="18" s="1"/>
  <c r="J212" i="18"/>
  <c r="K212" i="18" s="1"/>
  <c r="J181" i="78"/>
  <c r="K181" i="78" s="1"/>
  <c r="D134" i="78"/>
  <c r="J213" i="18"/>
  <c r="K213" i="18" s="1"/>
  <c r="J209" i="18"/>
  <c r="K209" i="18" s="1"/>
  <c r="J190" i="18"/>
  <c r="K190" i="18" s="1"/>
  <c r="K193" i="78"/>
  <c r="K186" i="18"/>
  <c r="K29" i="18"/>
  <c r="K207" i="78"/>
  <c r="J190" i="78"/>
  <c r="K190" i="78" s="1"/>
  <c r="J194" i="18"/>
  <c r="K194" i="18" s="1"/>
  <c r="J210" i="78"/>
  <c r="K210" i="78" s="1"/>
  <c r="K196" i="18"/>
  <c r="K206" i="78"/>
  <c r="J208" i="78"/>
  <c r="K208" i="78" s="1"/>
  <c r="J212" i="78"/>
  <c r="K212" i="78" s="1"/>
  <c r="K210" i="18"/>
  <c r="J188" i="18"/>
  <c r="K188" i="18" s="1"/>
  <c r="K198" i="18" l="1"/>
  <c r="K195" i="78"/>
  <c r="D135" i="18"/>
  <c r="K218" i="18"/>
  <c r="K215"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tc={093C8168-62B9-4A4C-B2EE-D6060201F817}</author>
    <author>Akhrif, Hanan</author>
  </authors>
  <commentList>
    <comment ref="B25" authorId="0" shapeId="0" xr:uid="{093C8168-62B9-4A4C-B2EE-D6060201F817}">
      <text>
        <t>[Comentario encadenado]
Su versión de Excel le permite leer este comentario encadenado; sin embargo, las ediciones que se apliquen se quitarán si el archivo se abre en una versión más reciente de Excel. Más información: https://go.microsoft.com/fwlink/?linkid=870924
Comentario:
    Introducir coste manualmente</t>
      </text>
    </comment>
    <comment ref="C50" authorId="1" shapeId="0" xr:uid="{00000000-0006-0000-0300-000001000000}">
      <text>
        <r>
          <rPr>
            <b/>
            <sz val="9"/>
            <color indexed="81"/>
            <rFont val="Tahoma"/>
            <family val="2"/>
          </rPr>
          <t>Akhrif, Hanan:</t>
        </r>
        <r>
          <rPr>
            <sz val="9"/>
            <color indexed="81"/>
            <rFont val="Tahoma"/>
            <family val="2"/>
          </rPr>
          <t xml:space="preserve">
INTRODUCIR ALTURA A IMPERMEABILIZAR EN METROS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tc={B94A96DA-47B9-43A5-A22C-0EDFFBCE6DE7}</author>
  </authors>
  <commentList>
    <comment ref="B26" authorId="0" shapeId="0" xr:uid="{B94A96DA-47B9-43A5-A22C-0EDFFBCE6DE7}">
      <text>
        <t>[Comentario encadenado]
Su versión de Excel le permite leer este comentario encadenado; sin embargo, las ediciones que se apliquen se quitarán si el archivo se abre en una versión más reciente de Excel. Más información: https://go.microsoft.com/fwlink/?linkid=870924
Comentario:
    Introducir coste manualmente</t>
      </text>
    </comment>
  </commentList>
</comments>
</file>

<file path=xl/sharedStrings.xml><?xml version="1.0" encoding="utf-8"?>
<sst xmlns="http://schemas.openxmlformats.org/spreadsheetml/2006/main" count="5216" uniqueCount="1016">
  <si>
    <t>Rendimiento</t>
  </si>
  <si>
    <t>PRODUCTO</t>
  </si>
  <si>
    <t>COMPONENTE</t>
  </si>
  <si>
    <t>Mortero adhesivo</t>
  </si>
  <si>
    <t>webertherm base gris</t>
  </si>
  <si>
    <t>kg</t>
  </si>
  <si>
    <t>Material aislante</t>
  </si>
  <si>
    <t>Fijación mecánica</t>
  </si>
  <si>
    <t>ud</t>
  </si>
  <si>
    <t>Refuerzo</t>
  </si>
  <si>
    <t>webertherm malla 160</t>
  </si>
  <si>
    <t>Acabado</t>
  </si>
  <si>
    <t>webertene advance M (color claro)</t>
  </si>
  <si>
    <t>l</t>
  </si>
  <si>
    <t>webertherm base blanco</t>
  </si>
  <si>
    <t>webertherm base plus</t>
  </si>
  <si>
    <t>webertherm flex B</t>
  </si>
  <si>
    <t>PVP unidad</t>
  </si>
  <si>
    <t>webertherm placa EPS 20</t>
  </si>
  <si>
    <t>webertherm placa EPS 40</t>
  </si>
  <si>
    <t>webertherm placa EPS 60</t>
  </si>
  <si>
    <t>webertherm placa EPS 80</t>
  </si>
  <si>
    <t>webertherm placa EPS 100</t>
  </si>
  <si>
    <t>webertherm placa EPS 120</t>
  </si>
  <si>
    <t>webertherm placa EPS 140</t>
  </si>
  <si>
    <t>webertherm placa EPS 160</t>
  </si>
  <si>
    <t>webertherm placa EPS Grafito 20</t>
  </si>
  <si>
    <t>webertherm placa EPS Grafito 40</t>
  </si>
  <si>
    <t>webertherm placa EPS Grafito 60</t>
  </si>
  <si>
    <t>webertherm placa EPS Grafito 80</t>
  </si>
  <si>
    <t>webertherm placa EPS Grafito 120</t>
  </si>
  <si>
    <t>webertherm placa EPS Grafito 160</t>
  </si>
  <si>
    <t>webertherm placa EPS Grafito 100</t>
  </si>
  <si>
    <t>webertherm placa EPS Grafito 140</t>
  </si>
  <si>
    <t>webertherm espiga SLD-5 95</t>
  </si>
  <si>
    <t>webertherm espiga SLD-5 115</t>
  </si>
  <si>
    <t>webertherm espiga SLD-5 135</t>
  </si>
  <si>
    <t>webertherm espiga SLD-5 155</t>
  </si>
  <si>
    <t>webertherm espiga SLD-5 175</t>
  </si>
  <si>
    <t>webertherm espiga SLD-5 195</t>
  </si>
  <si>
    <t>webertherm espiga H3 075</t>
  </si>
  <si>
    <t>webertherm espiga H3 095</t>
  </si>
  <si>
    <t>webertherm espiga H3 115</t>
  </si>
  <si>
    <t>webertherm espiga H3 135</t>
  </si>
  <si>
    <t>webertherm espiga H3 155</t>
  </si>
  <si>
    <t>webertherm espiga H3 175</t>
  </si>
  <si>
    <t>webertherm espiga H3 195</t>
  </si>
  <si>
    <t>webertherm espiga H3 215</t>
  </si>
  <si>
    <t>webertherm espiga H3 235</t>
  </si>
  <si>
    <t>webetherm espiga SRD-5 115</t>
  </si>
  <si>
    <t>webetherm espiga SRD-5 135</t>
  </si>
  <si>
    <t>webetherm espiga SRD-5 155</t>
  </si>
  <si>
    <t>webetherm espiga SRD-5 175</t>
  </si>
  <si>
    <t>webetherm espiga SRD-5 195</t>
  </si>
  <si>
    <t>webertherm espiga STR H 80</t>
  </si>
  <si>
    <t>webertherm espiga STR H 100</t>
  </si>
  <si>
    <t>webertherm espiga STR H 120</t>
  </si>
  <si>
    <t>webertherm espiga STR H 140</t>
  </si>
  <si>
    <t>webertherm espiga STR H 160</t>
  </si>
  <si>
    <t>webertherm espiga STR H 180</t>
  </si>
  <si>
    <t>webertherm placa XPS 40</t>
  </si>
  <si>
    <t>webertherm placa XPS  60</t>
  </si>
  <si>
    <t>webertherm placa XPS 80</t>
  </si>
  <si>
    <t>webertherm placa XPS  100</t>
  </si>
  <si>
    <t>webertherm placa clima 34 40</t>
  </si>
  <si>
    <t>webertherm placa clima 34 60</t>
  </si>
  <si>
    <t>webertherm placa clima 34 80</t>
  </si>
  <si>
    <t>webertherm placa clima 34 100</t>
  </si>
  <si>
    <t>webertherm placa PF 20</t>
  </si>
  <si>
    <t>webertherm placa PF 40</t>
  </si>
  <si>
    <t>webertherm placa PF 60</t>
  </si>
  <si>
    <t>webertherm placa PF 80</t>
  </si>
  <si>
    <t>webertherm placa PF 100</t>
  </si>
  <si>
    <t>webertherm placa PF 120</t>
  </si>
  <si>
    <t>webertherm placa PF 140</t>
  </si>
  <si>
    <t>webertherm placa DUO 60</t>
  </si>
  <si>
    <t>webertherm placa DUO 80</t>
  </si>
  <si>
    <t>webertherm placa DUO 100</t>
  </si>
  <si>
    <t>webertherm placa DUO 120</t>
  </si>
  <si>
    <t>webertherm placa DUO 140</t>
  </si>
  <si>
    <t>webertherm placa DUO 160</t>
  </si>
  <si>
    <t>webertherm placa corcho 20</t>
  </si>
  <si>
    <t>webertherm placa corcho 40</t>
  </si>
  <si>
    <t>webertherm placa corcho 60</t>
  </si>
  <si>
    <t>webertherm placa corcho 80</t>
  </si>
  <si>
    <t>webertherm placa corcho 100</t>
  </si>
  <si>
    <t>webertherm placa corcho 120</t>
  </si>
  <si>
    <t>webertherm placa solado 20</t>
  </si>
  <si>
    <t>webertherm placa solado 30</t>
  </si>
  <si>
    <t>Fijación</t>
  </si>
  <si>
    <t>Mortero Refuerzo</t>
  </si>
  <si>
    <t>Malla Refuerzo</t>
  </si>
  <si>
    <t>webertherm malla 320</t>
  </si>
  <si>
    <t>Imprimación no necesaria</t>
  </si>
  <si>
    <t>webertene primer (color claro)</t>
  </si>
  <si>
    <t>webertene primer (color intenso)</t>
  </si>
  <si>
    <t>weberprim silicato</t>
  </si>
  <si>
    <t>Unidad</t>
  </si>
  <si>
    <t>-</t>
  </si>
  <si>
    <t>Imprimación  acabado</t>
  </si>
  <si>
    <t>webertene classic XL (color claro)</t>
  </si>
  <si>
    <t>webertene classic XL (color intenso)</t>
  </si>
  <si>
    <t>webertene classic L (color claro)</t>
  </si>
  <si>
    <t>webertene classic L (color intenso)</t>
  </si>
  <si>
    <t>webertene advance M (color intenso)</t>
  </si>
  <si>
    <t>webertene advance S (color claro)</t>
  </si>
  <si>
    <t>webertene advance S (color intenso)</t>
  </si>
  <si>
    <t>webertene advance XS (color claro)</t>
  </si>
  <si>
    <t>webertene advance XS (color intenso)</t>
  </si>
  <si>
    <t>webertene premium M (color claro)</t>
  </si>
  <si>
    <t>webertene premium M (color intenso)</t>
  </si>
  <si>
    <t>webertene advance PLUS (color claro)</t>
  </si>
  <si>
    <t>webertene advance PLUS  (color intenso)</t>
  </si>
  <si>
    <t>webertene premium PLUS  (color claro)</t>
  </si>
  <si>
    <t>webertene premium PLUS  (color intenso)</t>
  </si>
  <si>
    <t>webercal flexible (color claro)</t>
  </si>
  <si>
    <t>webercal flexible (color intenso)</t>
  </si>
  <si>
    <t>Fecha:</t>
  </si>
  <si>
    <t>Cliente:</t>
  </si>
  <si>
    <t>Realizado por:</t>
  </si>
  <si>
    <t>Proyecto:</t>
  </si>
  <si>
    <t>OTROS CONCEPTOS</t>
  </si>
  <si>
    <t>Perfiles</t>
  </si>
  <si>
    <t>webertherm perfil arrranque 40</t>
  </si>
  <si>
    <t>webertherm perfil arrranque 60</t>
  </si>
  <si>
    <t>webertherm perfil arrranque 80</t>
  </si>
  <si>
    <t>webertherm perfil arrranque 100</t>
  </si>
  <si>
    <t>webertherm perfil arrranque 120</t>
  </si>
  <si>
    <t>webertherm perfil arrranque 140</t>
  </si>
  <si>
    <t>webertherm perfil arrranque 160</t>
  </si>
  <si>
    <t>webertherm perfil arrranque 180</t>
  </si>
  <si>
    <t>webertherm perfil arrranque 200</t>
  </si>
  <si>
    <t>webertherm perfil arranque PLUS parte I</t>
  </si>
  <si>
    <t>webertherm perfil arranque PLUS parte II</t>
  </si>
  <si>
    <t>webertherm perfil coronación 40</t>
  </si>
  <si>
    <t>webertherm perfil coronación 60</t>
  </si>
  <si>
    <t>webertherm perfil coronación 80</t>
  </si>
  <si>
    <t>webertherm perfil coronación 100</t>
  </si>
  <si>
    <t>webertherm perfil esquinero</t>
  </si>
  <si>
    <t>webertherm perfil goterón CF</t>
  </si>
  <si>
    <t>webertherm perfil goterón CG</t>
  </si>
  <si>
    <t>ml</t>
  </si>
  <si>
    <t>webertherm perfil clip arranque 6 mm</t>
  </si>
  <si>
    <t>Perfil 1</t>
  </si>
  <si>
    <t>Perfil 2</t>
  </si>
  <si>
    <t>Perfil 3</t>
  </si>
  <si>
    <t>Perfil 4</t>
  </si>
  <si>
    <t>webertherm etics</t>
  </si>
  <si>
    <t>webertherm acustic</t>
  </si>
  <si>
    <t>sistema webertherm etics acabado orgánico</t>
  </si>
  <si>
    <t>webertherm placa EPS</t>
  </si>
  <si>
    <t>webertherm placa EPS Grafito</t>
  </si>
  <si>
    <t>webertherm placa clima 34</t>
  </si>
  <si>
    <t>webertherm placa XPS</t>
  </si>
  <si>
    <t>Adhesivo</t>
  </si>
  <si>
    <t>Sistemas</t>
  </si>
  <si>
    <t>Aislante</t>
  </si>
  <si>
    <t>webertherm placa PF</t>
  </si>
  <si>
    <t>Otros conceptos</t>
  </si>
  <si>
    <t>weberprim fx15</t>
  </si>
  <si>
    <t>MEMORIA DESCRIPTIVA</t>
  </si>
  <si>
    <t>PVP unidad (*)</t>
  </si>
  <si>
    <t>Imprimación</t>
  </si>
  <si>
    <t>webercal estuco (color claro)</t>
  </si>
  <si>
    <t>webercal estuco (color intenso)</t>
  </si>
  <si>
    <t xml:space="preserve">Importe total </t>
  </si>
  <si>
    <t xml:space="preserve">Unidad </t>
  </si>
  <si>
    <t>webertherm clima (color claro)</t>
  </si>
  <si>
    <t>webertherm clima (color intenso)</t>
  </si>
  <si>
    <t>webertherm aislone 20</t>
  </si>
  <si>
    <t>webertherm aislone 30</t>
  </si>
  <si>
    <t>webertherm aislone 40</t>
  </si>
  <si>
    <t>webertherm aislone 50</t>
  </si>
  <si>
    <t>webertherm aislone 60</t>
  </si>
  <si>
    <t>webertherm aislone 70</t>
  </si>
  <si>
    <t>webertherm aislone 80</t>
  </si>
  <si>
    <t>webertherm arandela 160</t>
  </si>
  <si>
    <t xml:space="preserve">Pintura </t>
  </si>
  <si>
    <t>Base de datos de listas - consumos y PVP</t>
  </si>
  <si>
    <t xml:space="preserve">Memorias descriptivas </t>
  </si>
  <si>
    <t>Estructura sistemas renovación de fachadas</t>
  </si>
  <si>
    <t>Estructura sistemas suelos (validar con Toni y sponsors)</t>
  </si>
  <si>
    <t>Estructura sistemas impermeabilización (validar con Santi)</t>
  </si>
  <si>
    <t>Estructura sistemas SATE (validar con Gonzalo y DTC's)</t>
  </si>
  <si>
    <t>INICIO</t>
  </si>
  <si>
    <t>webertherm malla 200</t>
  </si>
  <si>
    <t>weberprim TP05</t>
  </si>
  <si>
    <r>
      <t>webercol flex</t>
    </r>
    <r>
      <rPr>
        <vertAlign val="superscript"/>
        <sz val="11"/>
        <color theme="1"/>
        <rFont val="Calibri"/>
        <family val="2"/>
        <scheme val="minor"/>
      </rPr>
      <t>2</t>
    </r>
    <r>
      <rPr>
        <sz val="11"/>
        <color theme="1"/>
        <rFont val="Calibri"/>
        <family val="2"/>
        <scheme val="minor"/>
      </rPr>
      <t xml:space="preserve"> multirapid blanco</t>
    </r>
  </si>
  <si>
    <r>
      <t>webercol flex</t>
    </r>
    <r>
      <rPr>
        <vertAlign val="superscript"/>
        <sz val="11"/>
        <color theme="1"/>
        <rFont val="Calibri"/>
        <family val="2"/>
        <scheme val="minor"/>
      </rPr>
      <t>2</t>
    </r>
    <r>
      <rPr>
        <sz val="11"/>
        <color theme="1"/>
        <rFont val="Calibri"/>
        <family val="2"/>
        <scheme val="minor"/>
      </rPr>
      <t xml:space="preserve"> multirapid gris</t>
    </r>
  </si>
  <si>
    <r>
      <t>webercol flex</t>
    </r>
    <r>
      <rPr>
        <vertAlign val="superscript"/>
        <sz val="11"/>
        <color theme="1"/>
        <rFont val="Calibri"/>
        <family val="2"/>
        <scheme val="minor"/>
      </rPr>
      <t>2</t>
    </r>
    <r>
      <rPr>
        <sz val="11"/>
        <color theme="1"/>
        <rFont val="Calibri"/>
        <family val="2"/>
        <scheme val="minor"/>
      </rPr>
      <t xml:space="preserve"> multigel blanco</t>
    </r>
  </si>
  <si>
    <r>
      <t>webercol flex</t>
    </r>
    <r>
      <rPr>
        <vertAlign val="superscript"/>
        <sz val="11"/>
        <color theme="1"/>
        <rFont val="Calibri"/>
        <family val="2"/>
        <scheme val="minor"/>
      </rPr>
      <t>2</t>
    </r>
    <r>
      <rPr>
        <sz val="11"/>
        <color theme="1"/>
        <rFont val="Calibri"/>
        <family val="2"/>
        <scheme val="minor"/>
      </rPr>
      <t xml:space="preserve"> multigel gris</t>
    </r>
  </si>
  <si>
    <r>
      <t>webercol flex</t>
    </r>
    <r>
      <rPr>
        <vertAlign val="superscript"/>
        <sz val="11"/>
        <color theme="1"/>
        <rFont val="Calibri"/>
        <family val="2"/>
        <scheme val="minor"/>
      </rPr>
      <t>3</t>
    </r>
    <r>
      <rPr>
        <sz val="11"/>
        <color theme="1"/>
        <rFont val="Calibri"/>
        <family val="2"/>
        <scheme val="minor"/>
      </rPr>
      <t xml:space="preserve"> superapid blanco</t>
    </r>
  </si>
  <si>
    <r>
      <t>webercol flex</t>
    </r>
    <r>
      <rPr>
        <vertAlign val="superscript"/>
        <sz val="11"/>
        <color theme="1"/>
        <rFont val="Calibri"/>
        <family val="2"/>
        <scheme val="minor"/>
      </rPr>
      <t>3</t>
    </r>
    <r>
      <rPr>
        <sz val="11"/>
        <color theme="1"/>
        <rFont val="Calibri"/>
        <family val="2"/>
        <scheme val="minor"/>
      </rPr>
      <t xml:space="preserve"> supergel blanco</t>
    </r>
  </si>
  <si>
    <t>webetherm espiga STR U 2G 115</t>
  </si>
  <si>
    <t>webetherm espiga STR U 2G 135</t>
  </si>
  <si>
    <t>webetherm espiga STR U 2G 155</t>
  </si>
  <si>
    <t>webetherm espiga STR U 2G 175</t>
  </si>
  <si>
    <t>webetherm espiga STR U 2G 195</t>
  </si>
  <si>
    <r>
      <t>webercol flex</t>
    </r>
    <r>
      <rPr>
        <vertAlign val="superscript"/>
        <sz val="11"/>
        <color theme="1"/>
        <rFont val="Calibri"/>
        <family val="2"/>
        <scheme val="minor"/>
      </rPr>
      <t>3</t>
    </r>
    <r>
      <rPr>
        <sz val="11"/>
        <color theme="1"/>
        <rFont val="Calibri"/>
        <family val="2"/>
        <scheme val="minor"/>
      </rPr>
      <t xml:space="preserve"> superapid gris</t>
    </r>
  </si>
  <si>
    <t>webercolor premium (color claro)</t>
  </si>
  <si>
    <t>webercolor premium (color intenso)</t>
  </si>
  <si>
    <t>webertherm base gris (3 manos)</t>
  </si>
  <si>
    <t>webertherm base blanco (3 manos)</t>
  </si>
  <si>
    <t>webertherm base plus (3 manos)</t>
  </si>
  <si>
    <t>webertherm flex B (3 manos)</t>
  </si>
  <si>
    <t>webertherm malla 160 (doble)</t>
  </si>
  <si>
    <t>Sistema:</t>
  </si>
  <si>
    <t>Aislante:</t>
  </si>
  <si>
    <t>espesor (mm):</t>
  </si>
  <si>
    <t>webertherm placa corcho</t>
  </si>
  <si>
    <t>Adhesivo de placas:</t>
  </si>
  <si>
    <t>Fijación:</t>
  </si>
  <si>
    <t>webertherm espiga SLD-5</t>
  </si>
  <si>
    <t>Mortero regularizador/refuerzo:</t>
  </si>
  <si>
    <t>Revestimiento:</t>
  </si>
  <si>
    <t>SISTEMA</t>
  </si>
  <si>
    <t>CORREGIDO</t>
  </si>
  <si>
    <t>ETA 05/0047</t>
  </si>
  <si>
    <t>ETA 17/0236  /  DAU 17/107A</t>
  </si>
  <si>
    <t>ETA 15/0085</t>
  </si>
  <si>
    <t>ETA 18/0165</t>
  </si>
  <si>
    <t>ADHESIVO DE PLACAS</t>
  </si>
  <si>
    <t>sin adhesivo</t>
  </si>
  <si>
    <t>MATERIAL AISLANTE</t>
  </si>
  <si>
    <t>placa EPS</t>
  </si>
  <si>
    <t>placa EPS grafito</t>
  </si>
  <si>
    <t>placa XPS</t>
  </si>
  <si>
    <t>placa PF</t>
  </si>
  <si>
    <t>lana mineral</t>
  </si>
  <si>
    <t>webertherm placa DUO</t>
  </si>
  <si>
    <t>lana de roca</t>
  </si>
  <si>
    <t>webertherm aislone</t>
  </si>
  <si>
    <t>mortero termoaislante</t>
  </si>
  <si>
    <t>placa de corcho natural</t>
  </si>
  <si>
    <t>FIJACIONES MECÁNICAS</t>
  </si>
  <si>
    <t>placa</t>
  </si>
  <si>
    <t>webertherm espiga SRD-5</t>
  </si>
  <si>
    <t>webertherm espiga H3</t>
  </si>
  <si>
    <t>webertherm espiga STR H</t>
  </si>
  <si>
    <t>mortero</t>
  </si>
  <si>
    <t>sintética</t>
  </si>
  <si>
    <t xml:space="preserve">colocadas a razón de 6 espigas/m² mínimo, incrementando el número de éstas en zonas elevadas y expuestas a la succión del viento. </t>
  </si>
  <si>
    <t>lana</t>
  </si>
  <si>
    <t>CONCATENADO</t>
  </si>
  <si>
    <t>espiga</t>
  </si>
  <si>
    <t>espesor</t>
  </si>
  <si>
    <t>Obra</t>
  </si>
  <si>
    <t>webertherm espiga</t>
  </si>
  <si>
    <t>J39J4:J55</t>
  </si>
  <si>
    <t>SLD-5</t>
  </si>
  <si>
    <t>Obra nueva</t>
  </si>
  <si>
    <t xml:space="preserve"> 95</t>
  </si>
  <si>
    <t xml:space="preserve"> 115</t>
  </si>
  <si>
    <t xml:space="preserve"> 135</t>
  </si>
  <si>
    <t xml:space="preserve"> 155</t>
  </si>
  <si>
    <t xml:space="preserve"> 175</t>
  </si>
  <si>
    <t xml:space="preserve"> 195</t>
  </si>
  <si>
    <t>Rehabilitación</t>
  </si>
  <si>
    <t>SRD-5</t>
  </si>
  <si>
    <t>H3</t>
  </si>
  <si>
    <t xml:space="preserve"> 75</t>
  </si>
  <si>
    <t xml:space="preserve"> 215</t>
  </si>
  <si>
    <t>STR H</t>
  </si>
  <si>
    <t xml:space="preserve"> 80</t>
  </si>
  <si>
    <t xml:space="preserve"> 100</t>
  </si>
  <si>
    <t xml:space="preserve"> 120</t>
  </si>
  <si>
    <t xml:space="preserve"> 140</t>
  </si>
  <si>
    <t xml:space="preserve"> 160</t>
  </si>
  <si>
    <t xml:space="preserve"> 180</t>
  </si>
  <si>
    <t>MORTERO DE REFUERZO</t>
  </si>
  <si>
    <t>SEGÚN ACABADO</t>
  </si>
  <si>
    <t>webertherm clima</t>
  </si>
  <si>
    <t>REVESTIMIENTO</t>
  </si>
  <si>
    <t>variante sistema</t>
  </si>
  <si>
    <t>webercal estuco</t>
  </si>
  <si>
    <t>acabado mineral capa fina</t>
  </si>
  <si>
    <t>webertene classic</t>
  </si>
  <si>
    <t>acabado orgánico</t>
  </si>
  <si>
    <t>webertene advance</t>
  </si>
  <si>
    <t>webertene premium M</t>
  </si>
  <si>
    <t>acabado mineral capa gruesa</t>
  </si>
  <si>
    <t>webertene primer</t>
  </si>
  <si>
    <t>imprimación</t>
  </si>
  <si>
    <t>webertene advance PLUS</t>
  </si>
  <si>
    <t>webertene premium PLUS</t>
  </si>
  <si>
    <t>EXTRA</t>
  </si>
  <si>
    <t>SI</t>
  </si>
  <si>
    <t>. Medido a cinta corrida descontando el 50% de los huecos mayores de 4 m². Incluso p/p de suministro y colocación de perfiles de arranque y de esquina, formación de juntas, rincones, aristas, mochetas, jambas, dinteles, remates en los encuentros con paramentos, revestimientos u otros elementos recibidos en su superficie.</t>
  </si>
  <si>
    <t>NO</t>
  </si>
  <si>
    <t>webertherm placa solado</t>
  </si>
  <si>
    <t xml:space="preserve">webetherm espiga STR U 2G </t>
  </si>
  <si>
    <t>Fijaciones</t>
  </si>
  <si>
    <t>Mallas</t>
  </si>
  <si>
    <t>PVP saco palet (€/saco)</t>
  </si>
  <si>
    <t>Cantidad saco</t>
  </si>
  <si>
    <t>PVP (€/paquete)</t>
  </si>
  <si>
    <t>Cantidad por unidad
venta fábrica
(m2/paquete)</t>
  </si>
  <si>
    <t>webermur liso (blanco)</t>
  </si>
  <si>
    <t>webermur liso (gris)</t>
  </si>
  <si>
    <t xml:space="preserve">Consumo por m² </t>
  </si>
  <si>
    <t>Superficie m²:</t>
  </si>
  <si>
    <t>Dto. (%)</t>
  </si>
  <si>
    <t>_</t>
  </si>
  <si>
    <t>sistemas webertherm</t>
  </si>
  <si>
    <t>sistemas weberenova</t>
  </si>
  <si>
    <t>webermur liso</t>
  </si>
  <si>
    <t>acabado mineral liso</t>
  </si>
  <si>
    <t>Esta oferta tiene una validez de 30 días naturales. Los precios no incluyen IVA ni transporte. Los consumos por m² son orientativos en base a los datos extraídos de las fichas técnicas de cada uno de los productos y pueden variar en función de las características y particularidades de la obra, así como de las condiciones de aplicación. Es responsabilidad del cliente verificar la repercusión real €/m² en función de las características de la obra.</t>
  </si>
  <si>
    <t>sistemas weberrenova</t>
  </si>
  <si>
    <t>IMPERMEABILIZACIÓN ZÓCALO</t>
  </si>
  <si>
    <t>Mortero impermeabilizante</t>
  </si>
  <si>
    <t>Banda refuerzo</t>
  </si>
  <si>
    <t>ZOCALO</t>
  </si>
  <si>
    <t>weberdry imperflex 2C</t>
  </si>
  <si>
    <t>Tapas</t>
  </si>
  <si>
    <t>Anclajes</t>
  </si>
  <si>
    <t>Sellado</t>
  </si>
  <si>
    <t>TAPAS</t>
  </si>
  <si>
    <t>ANCLAJES</t>
  </si>
  <si>
    <t>SELLADO</t>
  </si>
  <si>
    <t>ACABADOS ORIGÁNICOS ANTIFISURAS</t>
  </si>
  <si>
    <t>webertherm placa EPS Grafito 30</t>
  </si>
  <si>
    <t>webertherm placa EPS Grafito 50</t>
  </si>
  <si>
    <t>webertherm placa EPS Grafito 70</t>
  </si>
  <si>
    <t>webertherm placa EPS Grafito 90</t>
  </si>
  <si>
    <t>webertherm placa EPS Grafito 110</t>
  </si>
  <si>
    <t>webertherm placa EPS Grafito 130</t>
  </si>
  <si>
    <t>webertherm placa EPS Grafito 150</t>
  </si>
  <si>
    <t>webertherm placa EPS 50</t>
  </si>
  <si>
    <t>webertherm placa EPS 70</t>
  </si>
  <si>
    <t>webertherm placa EPS 90</t>
  </si>
  <si>
    <t>webertherm placa EPS 110</t>
  </si>
  <si>
    <t>webertherm placa EPS 130</t>
  </si>
  <si>
    <t>webertherm placa EPS 150</t>
  </si>
  <si>
    <t>webertherm placa EPS 30</t>
  </si>
  <si>
    <t>webertherm placa XPS 30</t>
  </si>
  <si>
    <t>webertherm placa PF 30</t>
  </si>
  <si>
    <t>webertherm placa PF 50</t>
  </si>
  <si>
    <t>webertherm placa PF 70</t>
  </si>
  <si>
    <t>webertherm placa XPS 50</t>
  </si>
  <si>
    <t>SISTEMA GENERAL</t>
  </si>
  <si>
    <t>ZÓCALO</t>
  </si>
  <si>
    <t>Perfil de arranque</t>
  </si>
  <si>
    <t>PERFILERIA Y ACCESORIOS</t>
  </si>
  <si>
    <t xml:space="preserve">SISTEMA GENERAL </t>
  </si>
  <si>
    <t>Unidad venta fábrica</t>
  </si>
  <si>
    <t>saco</t>
  </si>
  <si>
    <t>Cantidad envase</t>
  </si>
  <si>
    <t>Cantidad palet</t>
  </si>
  <si>
    <t>Consumo obra unidad venta fábrica</t>
  </si>
  <si>
    <t>Valor estimado</t>
  </si>
  <si>
    <t>caja</t>
  </si>
  <si>
    <t>rollo</t>
  </si>
  <si>
    <t>bidón</t>
  </si>
  <si>
    <t>fardo</t>
  </si>
  <si>
    <t xml:space="preserve">IMPORTE TOTAL ESTIMADO SISTEMA </t>
  </si>
  <si>
    <t xml:space="preserve">IMPORTE TOTAL ESTIMADO ZÓCALO </t>
  </si>
  <si>
    <t>kit</t>
  </si>
  <si>
    <t>CÁLCULO DE CANTIDADES</t>
  </si>
  <si>
    <t>Sin perfil de arranque</t>
  </si>
  <si>
    <t>PVP saco  (€/saco)</t>
  </si>
  <si>
    <t>* El PVP reflejado es por la compra mínima de 1 palet. Consultar unidad mínima de venta en tarifa vigente</t>
  </si>
  <si>
    <t>* El PVP reflejado es por la compra mínima de 1 saco. Consultar unidad mínima de venta en tarifa vigente</t>
  </si>
  <si>
    <t>* Las cantidades están redondeadas a la unidad venta fábrica. Consultar unidad mínima de venta en tarifa vigente</t>
  </si>
  <si>
    <t>Importe unitario con dto.</t>
  </si>
  <si>
    <t>Arandela</t>
  </si>
  <si>
    <t>PVP saco (€/saco)</t>
  </si>
  <si>
    <t xml:space="preserve">y clase B-s1,d0 de reacción al fuego (de acuerdo con la norma EN 13501-1), consistente en: </t>
  </si>
  <si>
    <t xml:space="preserve">y clase B-s2,d0 de reacción al fuego (de acuerdo con la norma EN 13501-1), consistente en: </t>
  </si>
  <si>
    <t xml:space="preserve">Tratamiento del zócalo (o zona de salpicaduras) del sistema, consistente en: </t>
  </si>
  <si>
    <t>weberdry imper F</t>
  </si>
  <si>
    <t>IMPERMEABILIZANTE</t>
  </si>
  <si>
    <t>con perfil de arranque</t>
  </si>
  <si>
    <t>sin perfil de arranque</t>
  </si>
  <si>
    <t>webertherm placa XPS 60</t>
  </si>
  <si>
    <t>webertherm placa XPS 100</t>
  </si>
  <si>
    <t>acabado orgánico imitación ladrillo caravista</t>
  </si>
  <si>
    <t>pintura - imprimación</t>
  </si>
  <si>
    <r>
      <t xml:space="preserve">aplicación a modo de imprimación, de pintura al silicato </t>
    </r>
    <r>
      <rPr>
        <sz val="8"/>
        <color rgb="FF00B050"/>
        <rFont val="Weber Name"/>
      </rPr>
      <t xml:space="preserve">webertene premium PLUS  </t>
    </r>
    <r>
      <rPr>
        <sz val="8"/>
        <color theme="1"/>
        <rFont val="Weber"/>
      </rPr>
      <t>(color a definir por la D.F.), compuesto de resinas en base silicato de potasio, cargas minerales, pigmentos estables a UV y aditivos especiales, y con las siguientes características técnicas: permeabilidad al vapor μ≤90 (VSD=0,02), aplicado a rodillo o airless en 2 capas con un tiempo de espera entre capas de al menos 6 horas</t>
    </r>
  </si>
  <si>
    <t>webertherm molde caravista 24x5 cm</t>
  </si>
  <si>
    <t xml:space="preserve">aplicación de sistema de impermeabilización y sellado (a definir por la D.F.) del encuentro de la fachada con el suelo exterior, hasta una altura ≥ 15 cm (no incl.). </t>
  </si>
  <si>
    <t xml:space="preserve">aplicación de sistema de impermeabilización y sellado (a definir por la D.F.) del encuentro de la fachada con el suelo exterior (no incl.), hasta la altura prevista de colocación del perfil de arranque. </t>
  </si>
  <si>
    <t>JAMBAS</t>
  </si>
  <si>
    <t xml:space="preserve">PVP unidad venta fábrica con dto. </t>
  </si>
  <si>
    <t>webertherm placa clima 34 120</t>
  </si>
  <si>
    <t>webertherm placa clima 34 140</t>
  </si>
  <si>
    <t>unidad</t>
  </si>
  <si>
    <t>webertherm placa TF PROFI 40</t>
  </si>
  <si>
    <t>webertherm placa TF PROFI 60</t>
  </si>
  <si>
    <t>webertherm placa TF PROFI 80</t>
  </si>
  <si>
    <t>webertherm placa TF PROFI 100</t>
  </si>
  <si>
    <t>webertherm placa TF PROFI 120</t>
  </si>
  <si>
    <t>webertherm placa TF PROFI 140</t>
  </si>
  <si>
    <t>webertherm placa TF PROFI 160</t>
  </si>
  <si>
    <t>webertherm placa TF PROFI 180</t>
  </si>
  <si>
    <t>webertherm placa TF PROFI 200</t>
  </si>
  <si>
    <t>webertherm placa TF PROFI 220</t>
  </si>
  <si>
    <t>webertherm placa TF PROFI 240</t>
  </si>
  <si>
    <t>webertherm placa TF PROFI 260</t>
  </si>
  <si>
    <t>webertherm placa TF PROFI 280</t>
  </si>
  <si>
    <t>webertherm placa TF PROFI 300</t>
  </si>
  <si>
    <t>Consumo 1</t>
  </si>
  <si>
    <t>Consumo 2</t>
  </si>
  <si>
    <t xml:space="preserve">Consumo UdM por m² </t>
  </si>
  <si>
    <t>Unidad de medida  (UdM)</t>
  </si>
  <si>
    <t>Consumo en obra (UdM)</t>
  </si>
  <si>
    <t>webercolor premium (Color Estándar)</t>
  </si>
  <si>
    <t>webercolor premium (Color Premium)</t>
  </si>
  <si>
    <t>webertene advance M (Color Tendencia)</t>
  </si>
  <si>
    <t>webertene advance S (Color Tendencia)</t>
  </si>
  <si>
    <t>webertene advance XS (Color Tendencia)</t>
  </si>
  <si>
    <t>webertene premium M (Color Tendencia)</t>
  </si>
  <si>
    <t>webertene advance M (Color Premium)</t>
  </si>
  <si>
    <t>webertene advance S (Color Premium)</t>
  </si>
  <si>
    <t>webertene advance XS (Color Premium)</t>
  </si>
  <si>
    <t>webertene premium M (Color Premium)</t>
  </si>
  <si>
    <t>webertene advance PLUS (Color Tendencia)</t>
  </si>
  <si>
    <t>webertene premium PLUS (Color Tendencia)</t>
  </si>
  <si>
    <t>webertene advance PLUS (Color Premium)</t>
  </si>
  <si>
    <t>webertene premium PLUS (Color Premium)</t>
  </si>
  <si>
    <t>webertherm clima (Color Premium)</t>
  </si>
  <si>
    <t>webertherm placa TF PROFI</t>
  </si>
  <si>
    <t>webertene extraClean active (Color Tendencia)</t>
  </si>
  <si>
    <t>webertene extraClean active (Color Premium)</t>
  </si>
  <si>
    <t>webercolor premium</t>
  </si>
  <si>
    <t>* La impermeabilización del zócalo no está incluida en este importe ya que la unidad de medida es metro lineal, y ésta variará en función de la forma del edificio.</t>
  </si>
  <si>
    <t>webertherm clima (color Estándar)</t>
  </si>
  <si>
    <t>webertene extraClean active</t>
  </si>
  <si>
    <t>Consumo 1/Adhesivo</t>
  </si>
  <si>
    <t>Consumo 2/Refuerzo</t>
  </si>
  <si>
    <r>
      <t xml:space="preserve">Sistema de aislamiento térmico por el exterior en fachada </t>
    </r>
    <r>
      <rPr>
        <sz val="8"/>
        <color theme="1"/>
        <rFont val="Weber Name"/>
      </rPr>
      <t>webertherm natura [variante]</t>
    </r>
    <r>
      <rPr>
        <sz val="8"/>
        <color theme="1"/>
        <rFont val="Weber"/>
      </rPr>
      <t xml:space="preserve">, con ETA 15/0085 </t>
    </r>
  </si>
  <si>
    <t>webercal liso</t>
  </si>
  <si>
    <t>webercal revoco</t>
  </si>
  <si>
    <t>WEBERCAL</t>
  </si>
  <si>
    <t>webercal basic</t>
  </si>
  <si>
    <t>webercal basic gris</t>
  </si>
  <si>
    <t>webercal basic blanco</t>
  </si>
  <si>
    <t>acabado liso</t>
  </si>
  <si>
    <t>acabado raspado</t>
  </si>
  <si>
    <t>weberplast decor M (Color Tendencia)</t>
  </si>
  <si>
    <t>weberplast decor M</t>
  </si>
  <si>
    <t>weber CS plus (Color Tendencia)</t>
  </si>
  <si>
    <t>webertene habitat</t>
  </si>
  <si>
    <t>webertene habitat (Color Tendencia)</t>
  </si>
  <si>
    <t>webertene habitat (Color Premium)</t>
  </si>
  <si>
    <t>weberplast decor M (Color Premium)</t>
  </si>
  <si>
    <t>weberplast decor plus (Color Tendencia)</t>
  </si>
  <si>
    <t>weberplast decor plus (Color Premium)</t>
  </si>
  <si>
    <t>weberplast decor plus</t>
  </si>
  <si>
    <t>weber CS plus</t>
  </si>
  <si>
    <t>weber CS plus (Color Premium)</t>
  </si>
  <si>
    <t>webertherm placa PF 90</t>
  </si>
  <si>
    <t>webertherm placa DUO 50</t>
  </si>
  <si>
    <t>m²</t>
  </si>
  <si>
    <t>webertherm placa TF PROFI 20</t>
  </si>
  <si>
    <t>weberplast silcolor</t>
  </si>
  <si>
    <t>weberplast silcolor (Color Premium)</t>
  </si>
  <si>
    <t>weberplast silcolor (Color Tendencia)</t>
  </si>
  <si>
    <t>=mar-22</t>
  </si>
  <si>
    <t>webertherm placa XPS 120</t>
  </si>
  <si>
    <t>descatalogado</t>
  </si>
  <si>
    <t>webertherm espiga SLD-5 215</t>
  </si>
  <si>
    <t>webertherm espiga SLD-5 235</t>
  </si>
  <si>
    <t>webertherm espiga SLD-5 255</t>
  </si>
  <si>
    <t>webertherm espiga SLD-5 275</t>
  </si>
  <si>
    <t>webertherm espiga SLD-5 295</t>
  </si>
  <si>
    <r>
      <t>m</t>
    </r>
    <r>
      <rPr>
        <strike/>
        <vertAlign val="superscript"/>
        <sz val="11"/>
        <color theme="3"/>
        <rFont val="Calibri"/>
        <family val="2"/>
        <scheme val="minor"/>
      </rPr>
      <t>²</t>
    </r>
  </si>
  <si>
    <t>webertherm espiga STR H 200</t>
  </si>
  <si>
    <t>webertherm placa EPS 20 DH</t>
  </si>
  <si>
    <t>webertherm placa EPS 30 DH</t>
  </si>
  <si>
    <t>webertherm placa EPS 40 DH</t>
  </si>
  <si>
    <t>webertherm placa EPS 50 DH</t>
  </si>
  <si>
    <t>webertherm placa EPS 60 DH</t>
  </si>
  <si>
    <t>webertherm placa EPS 70 DH</t>
  </si>
  <si>
    <t>webertherm placa EPS 80 DH</t>
  </si>
  <si>
    <t>webertherm placa EPS 100 DH</t>
  </si>
  <si>
    <t>webertherm placa EPS 120 DH</t>
  </si>
  <si>
    <t>webertherm placa EPS 160 DH</t>
  </si>
  <si>
    <t>webertherm placa EPS Grafito 20 DH</t>
  </si>
  <si>
    <t>webertherm placa EPS Grafito 30 DH</t>
  </si>
  <si>
    <t>webertherm placa EPS Grafito 40 DH</t>
  </si>
  <si>
    <t>webertherm placa EPS Grafito 50 DH</t>
  </si>
  <si>
    <t>webertherm placa EPS Grafito 60 DH</t>
  </si>
  <si>
    <t>webertherm placa EPS Grafito 70 DH</t>
  </si>
  <si>
    <t>webertherm placa EPS Grafito 80 DH</t>
  </si>
  <si>
    <t>webertherm placa EPS Grafito 90 DH</t>
  </si>
  <si>
    <t>webertherm placa EPS Grafito 100 DH</t>
  </si>
  <si>
    <t>webertherm placa EPS Grafito 120 DH</t>
  </si>
  <si>
    <t>webertherm placa EPS Grafito 150 DH</t>
  </si>
  <si>
    <t>webertherm circle</t>
  </si>
  <si>
    <t xml:space="preserve">y clase A1 de reacción al fuego (de acuerdo con la norma EN 13501-1), consistente en: </t>
  </si>
  <si>
    <t>DIBt Z-33.49-1731</t>
  </si>
  <si>
    <t>circle</t>
  </si>
  <si>
    <t>webertherm placa EPS 90 DH</t>
  </si>
  <si>
    <t>webertherm placa EPS 150 DH</t>
  </si>
  <si>
    <t>webertherm placa EPS 140 DH</t>
  </si>
  <si>
    <t>webertherm placa EPS 130 DH</t>
  </si>
  <si>
    <t>webertherm placa EPS 110 DH</t>
  </si>
  <si>
    <t>webertherm placa EPS Grafito 110 DH</t>
  </si>
  <si>
    <t>webertherm placa EPS Grafito 130 DH</t>
  </si>
  <si>
    <t>webertherm placa EPS Grafito 140 DH</t>
  </si>
  <si>
    <t>webertherm placa EPS Grafito 160 DH</t>
  </si>
  <si>
    <t>webertene micro (Color Tendencia)</t>
  </si>
  <si>
    <t>webertene micro (Color Premium)</t>
  </si>
  <si>
    <t>webertene micro</t>
  </si>
  <si>
    <t>webertherm malla 3FORCE</t>
  </si>
  <si>
    <t>webertherm AISLONE 20</t>
  </si>
  <si>
    <t>webertherm AISLONE 30</t>
  </si>
  <si>
    <t>webertherm AISLONE 40</t>
  </si>
  <si>
    <t>webertherm AISLONE 50</t>
  </si>
  <si>
    <t>webertherm AISLONE 60</t>
  </si>
  <si>
    <t>webertherm AISLONE 70</t>
  </si>
  <si>
    <t>webertherm AISLONE 80</t>
  </si>
  <si>
    <t>webertherm BASEGEL gris</t>
  </si>
  <si>
    <t>webertherm BASEGEL blanco</t>
  </si>
  <si>
    <t>webertherm BASE PLUS</t>
  </si>
  <si>
    <t>webertherm FLEX B</t>
  </si>
  <si>
    <t>weberprim SILICATO</t>
  </si>
  <si>
    <t>webertene ADVANCE M (Color Tendencia)</t>
  </si>
  <si>
    <t>webertene ADVANCE M (Color Premium)</t>
  </si>
  <si>
    <t>webertene ADVANCE XS (Color Tendencia)</t>
  </si>
  <si>
    <t>webertene ADVANCE XS (Color Premium)</t>
  </si>
  <si>
    <t>webertene ADVANCE PLUS (Color Tendencia)</t>
  </si>
  <si>
    <t>webertene ADVANCE PLUS (Color Premium)</t>
  </si>
  <si>
    <t>webertene CLASSIC XL (Color Tendencia)</t>
  </si>
  <si>
    <t>webertene CLASSIC XL (Color Premium)</t>
  </si>
  <si>
    <t>webertene CLASSIC L (Color Tendencia)</t>
  </si>
  <si>
    <t>webertene CLASSIC L (Color Premium)</t>
  </si>
  <si>
    <t>webercal ESTUCO</t>
  </si>
  <si>
    <t>webercal REVOCO</t>
  </si>
  <si>
    <t>webercal LISO</t>
  </si>
  <si>
    <t>webercal BASIC gris</t>
  </si>
  <si>
    <t>webercal BASIC blanco</t>
  </si>
  <si>
    <t>webertherm BASEGEL gris (3 manos)</t>
  </si>
  <si>
    <t>webertherm BASEGEL blanco (3 manos)</t>
  </si>
  <si>
    <t>webertherm BASE PLUS (3 manos)</t>
  </si>
  <si>
    <t>webertherm FLEX B (3 manos)</t>
  </si>
  <si>
    <t>weberdry IMPERFLEX 2C</t>
  </si>
  <si>
    <t>weberdry IMPER F gris</t>
  </si>
  <si>
    <t>weberdry IMPER F blanco</t>
  </si>
  <si>
    <t>weberdry IMPERBANDA</t>
  </si>
  <si>
    <t>weber FLEX P100</t>
  </si>
  <si>
    <t>webertherm PLACA EPS 20</t>
  </si>
  <si>
    <t>webertherm PLACA EPS 30</t>
  </si>
  <si>
    <t>webertherm PLACA EPS 40</t>
  </si>
  <si>
    <t>webertherm PLACA EPS 50</t>
  </si>
  <si>
    <t>webertherm PLACA EPS 60</t>
  </si>
  <si>
    <t>webertherm PLACA EPS 70</t>
  </si>
  <si>
    <t>webertherm PLACA EPS 80</t>
  </si>
  <si>
    <t>webertherm PLACA EPS 90</t>
  </si>
  <si>
    <t>webertherm PLACA EPS 100</t>
  </si>
  <si>
    <t>webertherm PLACA EPS 110</t>
  </si>
  <si>
    <t>webertherm PLACA EPS 120</t>
  </si>
  <si>
    <t>webertherm PLACA EPS 130</t>
  </si>
  <si>
    <t>webertherm PLACA EPS 140</t>
  </si>
  <si>
    <t>webertherm PLACA EPS 150</t>
  </si>
  <si>
    <t>webertherm PLACA EPS 160</t>
  </si>
  <si>
    <t>webertherm PLACA EPS GRAFITO 20</t>
  </si>
  <si>
    <t>webertherm PLACA EPS GRAFITO 30</t>
  </si>
  <si>
    <t>webertherm PLACA EPS GRAFITO 40</t>
  </si>
  <si>
    <t>webertherm PLACA EPS GRAFITO 50</t>
  </si>
  <si>
    <t>webertherm PLACA EPS GRAFITO 60</t>
  </si>
  <si>
    <t>webertherm PLACA EPS GRAFITO 70</t>
  </si>
  <si>
    <t>webertherm PLACA EPS GRAFITO 80</t>
  </si>
  <si>
    <t>webertherm PLACA EPS GRAFITO 90</t>
  </si>
  <si>
    <t>webertherm PLACA EPS GRAFITO 100</t>
  </si>
  <si>
    <t>webertherm PLACA EPS GRAFITO 120</t>
  </si>
  <si>
    <t>webertherm PLACA EPS GRAFITO 140</t>
  </si>
  <si>
    <t>webertherm PLACA EPS GRAFITO 110</t>
  </si>
  <si>
    <t>webertherm PLACA EPS GRAFITO 130</t>
  </si>
  <si>
    <t>webertherm PLACA EPS GRAFITO 150</t>
  </si>
  <si>
    <t>webertherm PLACA EPS GRAFITO 160</t>
  </si>
  <si>
    <t>webertherm PLACA XPS 30</t>
  </si>
  <si>
    <t>webertherm PLACA XPS 40</t>
  </si>
  <si>
    <t>webertherm PLACA XPS 50</t>
  </si>
  <si>
    <t>webertherm PLACA XPS 60</t>
  </si>
  <si>
    <t>webertherm PLACA XPS 80</t>
  </si>
  <si>
    <t>webertherm PLACA XPS 100</t>
  </si>
  <si>
    <t>webertherm PLACA XPS 120</t>
  </si>
  <si>
    <t>webertherm PLACA PF 20</t>
  </si>
  <si>
    <t>webertherm PLACA PF 30</t>
  </si>
  <si>
    <t>webertherm PLACA PF 40</t>
  </si>
  <si>
    <t>webertherm PLACA PF 50</t>
  </si>
  <si>
    <t>webertherm PLACA PF 60</t>
  </si>
  <si>
    <t>webertherm PLACA PF 70</t>
  </si>
  <si>
    <t>webertherm PLACA PF 80</t>
  </si>
  <si>
    <t>webertherm PLACA PF 90</t>
  </si>
  <si>
    <t>webertherm PLACA PF 100</t>
  </si>
  <si>
    <t>webertherm PLACA PF 120</t>
  </si>
  <si>
    <t>webertherm PLACA PF 140</t>
  </si>
  <si>
    <t>webertherm PLACA CLIMA 34 40</t>
  </si>
  <si>
    <t>webertherm PLACA CLIMA 34 60</t>
  </si>
  <si>
    <t>webertherm PLACA CLIMA 34 80</t>
  </si>
  <si>
    <t>webertherm PLACA CLIMA 34 100</t>
  </si>
  <si>
    <t>webertherm PLACA CLIMA 34 120</t>
  </si>
  <si>
    <t>webertherm PLACA CLIMA 34 140</t>
  </si>
  <si>
    <t>webertherm PLACA TF PROFI 20</t>
  </si>
  <si>
    <t>webertherm PLACA TF PROFI 40</t>
  </si>
  <si>
    <t>webertherm PLACA TF PROFI 60</t>
  </si>
  <si>
    <t>webertherm PLACA TF PROFI 80</t>
  </si>
  <si>
    <t>webertherm PLACA TF PROFI 100</t>
  </si>
  <si>
    <t>webertherm PLACA TF PROFI 120</t>
  </si>
  <si>
    <t>webertherm PLACA TF PROFI 140</t>
  </si>
  <si>
    <t>webertherm PLACA TF PROFI 160</t>
  </si>
  <si>
    <t>webertherm PLACA TF PROFI 180</t>
  </si>
  <si>
    <t>webertherm PLACA TF PROFI 200</t>
  </si>
  <si>
    <t>webertherm PLACA TF PROFI 220</t>
  </si>
  <si>
    <t>webertherm PLACA TF PROFI 240</t>
  </si>
  <si>
    <t>webertherm PLACA TF PROFI 260</t>
  </si>
  <si>
    <t>webertherm PLACA TF PROFI 280</t>
  </si>
  <si>
    <t>webertherm PLACA TF PROFI 300</t>
  </si>
  <si>
    <t>webertherm ESPIGA SLD-5 95</t>
  </si>
  <si>
    <t>webertherm ESPIGA SLD-5 115</t>
  </si>
  <si>
    <t>webertherm ESPIGA SLD-5 135</t>
  </si>
  <si>
    <t>webertherm ESPIGA SLD-5 155</t>
  </si>
  <si>
    <t>webertherm ESPIGA SLD-5 175</t>
  </si>
  <si>
    <t>webertherm ESPIGA SLD-5 195</t>
  </si>
  <si>
    <t>webertherm ESPIGA SLD-5 215</t>
  </si>
  <si>
    <t>webertherm ESPIGA SLD-5 235</t>
  </si>
  <si>
    <t>webertherm ESPIGA SLD-5 255</t>
  </si>
  <si>
    <t>webertherm ESPIGA SLD-5 275</t>
  </si>
  <si>
    <t>webertherm ESPIGA SLD-5 295</t>
  </si>
  <si>
    <t>webetherm ESPIGA SRD-5 115</t>
  </si>
  <si>
    <t>webetherm ESPIGA SRD-5 135</t>
  </si>
  <si>
    <t>webetherm ESPIGA SRD-5 155</t>
  </si>
  <si>
    <t>webetherm ESPIGA SRD-5 175</t>
  </si>
  <si>
    <t>webetherm ESPIGA SRD-5 195</t>
  </si>
  <si>
    <t>webertherm ESPIGA STR H 80</t>
  </si>
  <si>
    <t>webertherm ESPIGA STR H 100</t>
  </si>
  <si>
    <t>webertherm ESPIGA STR H 120</t>
  </si>
  <si>
    <t>webertherm ESPIGA STR H 140</t>
  </si>
  <si>
    <t>webertherm ESPIGA STR H 160</t>
  </si>
  <si>
    <t>webertherm ESPIGA STR H 180</t>
  </si>
  <si>
    <t>webertherm ESPIGA STR H 200</t>
  </si>
  <si>
    <t>webertherm ESPIGA H3 075</t>
  </si>
  <si>
    <t>webertherm ESPIGA H3 095</t>
  </si>
  <si>
    <t>webertherm ESPIGA H3 115</t>
  </si>
  <si>
    <t>webertherm ESPIGA H3 135</t>
  </si>
  <si>
    <t>webertherm ESPIGA H3 155</t>
  </si>
  <si>
    <t>webertherm ESPIGA H3 175</t>
  </si>
  <si>
    <t>webertherm ESPIGA H3 195</t>
  </si>
  <si>
    <t>webertherm ESPIGA H3 215</t>
  </si>
  <si>
    <t>webertherm ESPIGA H3 235</t>
  </si>
  <si>
    <t>webertherm MALLA 160</t>
  </si>
  <si>
    <t>webertherm MALLA 160 (doble)</t>
  </si>
  <si>
    <t>webertherm MALLA 65</t>
  </si>
  <si>
    <r>
      <t>m</t>
    </r>
    <r>
      <rPr>
        <vertAlign val="superscript"/>
        <sz val="11"/>
        <color rgb="FF0070C0"/>
        <rFont val="Calibri"/>
        <family val="2"/>
        <scheme val="minor"/>
      </rPr>
      <t>²</t>
    </r>
  </si>
  <si>
    <t>webertherm MOLDE CARAVISTA 24X5 CM</t>
  </si>
  <si>
    <t>webertherm PERFIL ARRANQUE 40</t>
  </si>
  <si>
    <t>webertherm PERFIL ARRANQUE 60</t>
  </si>
  <si>
    <t>webertherm PERFIL ARRANQUE 80</t>
  </si>
  <si>
    <t>webertherm PERFIL ARRANQUE 100</t>
  </si>
  <si>
    <t>webertherm PERFIL ARRANQUE 120</t>
  </si>
  <si>
    <t>webertherm PERFIL ARRANQUE 140</t>
  </si>
  <si>
    <t>webertherm PERFIL ARRANQUE 160</t>
  </si>
  <si>
    <t>webertherm PERFIL ARRANQUE 180</t>
  </si>
  <si>
    <t>webertherm PERFIL ARRANQUE 200</t>
  </si>
  <si>
    <t>webertherm PERFIL ARRANQUE PLUS parte I</t>
  </si>
  <si>
    <t>webertherm PERFIL ARRANQUE PLUS parte II</t>
  </si>
  <si>
    <t>webertherm PERFIL CORONACIÓN 40</t>
  </si>
  <si>
    <t>webertherm PERFIL CORONACIÓN 60</t>
  </si>
  <si>
    <t>webertherm PERFIL CORONACIÓN 80</t>
  </si>
  <si>
    <t>webertherm PERFIL CORONACIÓN 100</t>
  </si>
  <si>
    <t>webertherm PERFIL CLIP ARRANQUE 6 mm</t>
  </si>
  <si>
    <t>webertherm PERFIL ESQUINERO</t>
  </si>
  <si>
    <t>webertherm PERFIL ESQUINERO CONFORMABLE</t>
  </si>
  <si>
    <t>webertherm PERFIL GOTERÓN CF</t>
  </si>
  <si>
    <t>webertherm PERFIL GOTERÓN CG</t>
  </si>
  <si>
    <t>webertherm PERFIL JUNTA DILATACIÓN E +/- 1</t>
  </si>
  <si>
    <t>webertherm PERFIL JUNTA DILATACIÓN +/- 5</t>
  </si>
  <si>
    <t>webertherm PERFIL ALFÉIZAR</t>
  </si>
  <si>
    <t>webertherm PERFIL REMATE VENTANA</t>
  </si>
  <si>
    <t>webertherm PERFIL ARISTA PVC 3 mm</t>
  </si>
  <si>
    <t>webertherm PERFIL LATERAL 40</t>
  </si>
  <si>
    <t>webertherm PERFIL LATERAL 60</t>
  </si>
  <si>
    <t>webertherm PERFIL LATERAL 80</t>
  </si>
  <si>
    <t>webertherm PERFIL LATERAL 100</t>
  </si>
  <si>
    <t>webertherm TAPA STR EPS</t>
  </si>
  <si>
    <t>webertherm TAPA STR EPS Grafito</t>
  </si>
  <si>
    <t>webertherm TAPA STR LM</t>
  </si>
  <si>
    <t>webertherm TAPÓN STR EPS</t>
  </si>
  <si>
    <t>webertherm CINTA SELLADORA</t>
  </si>
  <si>
    <t>webertherm ANCLAJE ESPIRAL</t>
  </si>
  <si>
    <t>webertherm ANCLAJE THERMAX 8/M6 60</t>
  </si>
  <si>
    <t xml:space="preserve">webertherm ANCLAJE THERMAX 8/M6 80 </t>
  </si>
  <si>
    <t xml:space="preserve">webertherm ANCLAJE THERMAX 8/M6 100 </t>
  </si>
  <si>
    <t xml:space="preserve">webertherm ANCLAJE THERMAX 8/M6 120 </t>
  </si>
  <si>
    <t>webertherm ANCLAJE THERMAX 8/M6 140</t>
  </si>
  <si>
    <t>webertherm ANCLAJE CORNER 140</t>
  </si>
  <si>
    <t>webertherm ANCLAJE CORNER 200</t>
  </si>
  <si>
    <t>webertherm ANCLAJE CORNER 300</t>
  </si>
  <si>
    <t>webertherm PLACA DUO 50</t>
  </si>
  <si>
    <t>webertherm PLACA DUO 60</t>
  </si>
  <si>
    <t>webertherm PLACA DUO 80</t>
  </si>
  <si>
    <t>webertherm PLACA DUO 100</t>
  </si>
  <si>
    <t>webertherm PLACA DUO 120</t>
  </si>
  <si>
    <t>webertherm PLACA DUO 140</t>
  </si>
  <si>
    <t>webertherm PLACA DUO 160</t>
  </si>
  <si>
    <t>webertherm PLACA CORCHO 20</t>
  </si>
  <si>
    <t>webertherm PLACA CORCHO 40</t>
  </si>
  <si>
    <t>webertherm PLACA CORCHO 60</t>
  </si>
  <si>
    <t>webertherm PLACA CORCHO 80</t>
  </si>
  <si>
    <t>webertherm PLACA CORCHO 100</t>
  </si>
  <si>
    <t>webertherm PLACA CORCHO 120</t>
  </si>
  <si>
    <t>webertherm basegel gris (3 manos)</t>
  </si>
  <si>
    <t>webertherm basegel blanco (3 manos)</t>
  </si>
  <si>
    <t>webertherm basegel</t>
  </si>
  <si>
    <t>webertherm BASEGEL - sobre madera</t>
  </si>
  <si>
    <t>webertherm BASEGEL</t>
  </si>
  <si>
    <r>
      <t xml:space="preserve">y serán adheridas mediante el mortero monocomponente para la adhesión y regularización de paneles de aislamiento térmico, </t>
    </r>
    <r>
      <rPr>
        <sz val="8"/>
        <color rgb="FF00B050"/>
        <rFont val="Weber Name"/>
      </rPr>
      <t>webertherm BASEGEL</t>
    </r>
    <r>
      <rPr>
        <sz val="8"/>
        <color theme="1"/>
        <rFont val="Weber"/>
      </rPr>
      <t xml:space="preserve">, compuesto a base de cemento gris, cargas minerales, resinas redispersables en polvo, fibra de vidrio de alta dispersión y aditivos especiales; y con las siguientes características técnicas: adherencia sobre ladrillo cerámico ≥ 0,3 MPa, adherencia sobre </t>
    </r>
    <r>
      <rPr>
        <sz val="8"/>
        <color rgb="FF00B050"/>
        <rFont val="Weber Name"/>
      </rPr>
      <t xml:space="preserve">webertherm AISLONE </t>
    </r>
    <r>
      <rPr>
        <sz val="8"/>
        <color theme="1"/>
        <rFont val="Weber"/>
      </rPr>
      <t xml:space="preserve">y sobre </t>
    </r>
    <r>
      <rPr>
        <sz val="8"/>
        <color rgb="FF00B050"/>
        <rFont val="Weber Name"/>
      </rPr>
      <t>webertherm PLACA EPS</t>
    </r>
    <r>
      <rPr>
        <sz val="8"/>
        <color theme="1"/>
        <rFont val="Weber"/>
      </rPr>
      <t xml:space="preserve"> ≥ 0,08 MPa (CFS), absorción agua por capilaridad ≤ 0,2 kg/m² ·min</t>
    </r>
    <r>
      <rPr>
        <vertAlign val="superscript"/>
        <sz val="8"/>
        <color theme="1"/>
        <rFont val="Weber"/>
      </rPr>
      <t>0,5</t>
    </r>
    <r>
      <rPr>
        <sz val="8"/>
        <color theme="1"/>
        <rFont val="Weber"/>
      </rPr>
      <t xml:space="preserve"> (Clase W2), μ ≤ 10, resistencia a flexión ≥ 2 MPa, resistencia a compresión ≥ 6,0 MPa (CSIV), reacción al fuego Euroclase A1 y conductividad térmica 0,44 W/m·K, previa aplicación de imprimación de adherencia monocomponente a base de resinas sintéticas, cargas minerales y aditivos orgánicos e inorgánicos </t>
    </r>
    <r>
      <rPr>
        <sz val="8"/>
        <color rgb="FF00B050"/>
        <rFont val="Weber Name"/>
      </rPr>
      <t>weberprim FX15</t>
    </r>
    <r>
      <rPr>
        <sz val="8"/>
        <color theme="1"/>
        <rFont val="Weber"/>
      </rPr>
      <t xml:space="preserve">. La aplicación del mortero como adhesivo se realizará directamente en el reverso de la placa mediante cordón perimetral y pegotes centrales asegurando una superficie de adhesión mínima del 40%, o bien mediante doble encolado con llana dentada de 10 x 10 mm, en caso de aplicación posterior sobre el soporte plano (irregularidades inferiores a 10 mm bajo un regle de 2 m), con un espesor total de 1 cm. </t>
    </r>
  </si>
  <si>
    <r>
      <t xml:space="preserve">y serán adheridas mediante el mortero polimérico libre de cemento para la adhesión y regularización de paneles de aislamiento térmico, </t>
    </r>
    <r>
      <rPr>
        <sz val="8"/>
        <color rgb="FF00B050"/>
        <rFont val="Weber Name"/>
      </rPr>
      <t>webertherm FLEX B</t>
    </r>
    <r>
      <rPr>
        <sz val="8"/>
        <color theme="1"/>
        <rFont val="Weber"/>
      </rPr>
      <t xml:space="preserve">, compuesto a base de copolímeros acrílicos en dispersión acuosa, cargas minerales, y aditivos especiales; y las siguientes características técnicas: adherencia sobre enfoscado ≥ 0,25 MPa, adherencia sobre placa de EPS ≥ 0,08 MPa (CFS), μ ≤ 105, y Euroclase B. La aplicación del mortero como adhesivo se realizará mediante la técnica del doble encolado aplicando el material directamente sobre el soporte y en el reverso de la placa mediante llana dentada de 10 x 10 mm, y su posterior aplacado sobre el soporte plano (irregularidades inferiores a 10 mm bajo un regle de 2 m), con un espesor total de 1 cm. </t>
    </r>
  </si>
  <si>
    <r>
      <t xml:space="preserve">y serán adheridas mediante el mortero monocomponente para la adhesión y regularización de paneles de aislamiento térmico, </t>
    </r>
    <r>
      <rPr>
        <sz val="8"/>
        <color rgb="FF00B050"/>
        <rFont val="Weber Name"/>
      </rPr>
      <t>webertherm BASE PLUS</t>
    </r>
    <r>
      <rPr>
        <sz val="8"/>
        <color theme="1"/>
        <rFont val="Weber"/>
      </rPr>
      <t xml:space="preserve">, compuesto a base de cemento gris, cargas minerales, resinas redispersables en polvo, fibra de vidrio de alta dispersión, materia prima reciclada y aditivos especiales; y con las siguientes características técnicas: adherencia sobre ladrillo cerámico ≥ 0,3 MPa, adherencia sobre </t>
    </r>
    <r>
      <rPr>
        <sz val="8"/>
        <color rgb="FF00B050"/>
        <rFont val="Weber Name"/>
      </rPr>
      <t>webertherm PLACA</t>
    </r>
    <r>
      <rPr>
        <sz val="8"/>
        <color theme="1"/>
        <rFont val="Weber"/>
      </rPr>
      <t xml:space="preserve"> (EPS, EPS grafito, XPS, clima 34, DUO, corcho) ≥ 0,08 MPa (CFS), adherencia sobre </t>
    </r>
    <r>
      <rPr>
        <sz val="8"/>
        <color rgb="FF00B050"/>
        <rFont val="Weber Name"/>
      </rPr>
      <t>webertherm AISLONE</t>
    </r>
    <r>
      <rPr>
        <sz val="8"/>
        <color theme="1"/>
        <rFont val="Weber"/>
      </rPr>
      <t xml:space="preserve"> ≥ 0,08 MPa (CFS), </t>
    </r>
    <r>
      <rPr>
        <sz val="8"/>
        <color theme="1"/>
        <rFont val="Weber"/>
      </rPr>
      <t>adherencia sobre madera OSB ≥ 0,10 MPa, absorción agua por capilaridad ≤ 0,2 kg/m² ·min</t>
    </r>
    <r>
      <rPr>
        <vertAlign val="superscript"/>
        <sz val="8"/>
        <color theme="1"/>
        <rFont val="Weber"/>
      </rPr>
      <t>0,5</t>
    </r>
    <r>
      <rPr>
        <sz val="8"/>
        <color theme="1"/>
        <rFont val="Weber"/>
      </rPr>
      <t xml:space="preserve"> (Clase W2), μ ≤ 15, resistencia a flexión ≥ 2 MPa, resistencia a compresión ≥ 3,5 MPa (CSIII), reacción al fuego Clase B-s1,d0 y conductividad térmica 0,20-0,25 W/m·K. La aplicación del mortero como adhesivo se realizará directamente en el reverso de la placa mediante cordón perimetral y pegotes centrales asegurando una superficie de adhesión mínima del 40%, o bien mediante doble encolado con llana dentada de 10 x 10 mm, en caso de aplicación posterior sobre el soporte plano (irregularidades inferiores a 10 mm bajo un regle de 2 m), con un espesor total de 1 cm. </t>
    </r>
  </si>
  <si>
    <r>
      <t xml:space="preserve">y serán adheridas mediante el mortero monocomponente para la adhesión y regularización de paneles de aislamiento térmico, </t>
    </r>
    <r>
      <rPr>
        <sz val="8"/>
        <color rgb="FF00B050"/>
        <rFont val="Weber Name"/>
      </rPr>
      <t>webertherm BASEGEL</t>
    </r>
    <r>
      <rPr>
        <sz val="8"/>
        <color theme="1"/>
        <rFont val="Weber"/>
      </rPr>
      <t xml:space="preserve">, compuesto a base de cemento gris, cargas minerales, resinas redispersables en polvo, fibra de vidrio de alta dispersión y aditivos especiales; y con las siguientes características técnicas: adherencia sobre ladrillo cerámico ≥ 0,3 MPa, adherencia sobre </t>
    </r>
    <r>
      <rPr>
        <sz val="8"/>
        <color rgb="FF00B050"/>
        <rFont val="Weber Name"/>
      </rPr>
      <t>webertherm AISLONE</t>
    </r>
    <r>
      <rPr>
        <sz val="8"/>
        <color theme="1"/>
        <rFont val="Weber"/>
      </rPr>
      <t xml:space="preserve"> y sobre </t>
    </r>
    <r>
      <rPr>
        <sz val="8"/>
        <color rgb="FF00B050"/>
        <rFont val="Weber Name"/>
      </rPr>
      <t>webertherm PLACA EPS</t>
    </r>
    <r>
      <rPr>
        <sz val="8"/>
        <color theme="1"/>
        <rFont val="Weber"/>
      </rPr>
      <t xml:space="preserve"> ≥ 0,08 MPa (CFS), absorción agua por capilaridad ≤ 0,2 kg/m² ·min</t>
    </r>
    <r>
      <rPr>
        <vertAlign val="superscript"/>
        <sz val="8"/>
        <color theme="1"/>
        <rFont val="Weber"/>
      </rPr>
      <t>0,5</t>
    </r>
    <r>
      <rPr>
        <sz val="8"/>
        <color theme="1"/>
        <rFont val="Weber"/>
      </rPr>
      <t xml:space="preserve"> (Clase W2), μ ≤ 10, resistencia a flexión ≥ 2 MPa, resistencia a compresión ≥ 6,0 MPa (CSIV), reacción al fuego Euroclase A1 y conductividad térmica 0,44 W/m·K. La aplicación del mortero como adhesivo se realizará directamente en el reverso de la placa mediante cordón perimetral y pegotes centrales asegurando una superficie de adhesión mínima del 40%, o bien mediante doble encolado con llana dentada de 10 x 10 mm, en caso de aplicación posterior sobre el soporte plano (irregularidades inferiores a 10 mm bajo un regle de 2 m), con un espesor total de 1 cm. </t>
    </r>
  </si>
  <si>
    <t>webertherm ETICS</t>
  </si>
  <si>
    <t>webertherm ACUSTIC</t>
  </si>
  <si>
    <t>webertherm FLEX</t>
  </si>
  <si>
    <t>webertherm CERAMIC OPTIMA</t>
  </si>
  <si>
    <t>webertherm CERAMIC PLUS</t>
  </si>
  <si>
    <t>webertherm NATURA</t>
  </si>
  <si>
    <t>webertherm MINERAL</t>
  </si>
  <si>
    <t>webertherm CIRCLE</t>
  </si>
  <si>
    <t>weberenova ANTIFISURAS</t>
  </si>
  <si>
    <t>weberenova THERM</t>
  </si>
  <si>
    <t>weberenova CAL</t>
  </si>
  <si>
    <r>
      <t xml:space="preserve">Sistema para la renovación y aislamiento térmico de fachadas antiguas e irregulares </t>
    </r>
    <r>
      <rPr>
        <sz val="8"/>
        <color theme="1"/>
        <rFont val="Weber Name"/>
      </rPr>
      <t>weberenova THERM [variante] (</t>
    </r>
    <r>
      <rPr>
        <sz val="8"/>
        <color theme="1"/>
        <rFont val="Weber"/>
      </rPr>
      <t xml:space="preserve">o webertherm mineral) con ETA 18/0165 </t>
    </r>
  </si>
  <si>
    <r>
      <t xml:space="preserve">Sistema de elevada deformabilidad para renovación y protección de fachadas antiguas </t>
    </r>
    <r>
      <rPr>
        <sz val="8"/>
        <color theme="1"/>
        <rFont val="Weber Name"/>
      </rPr>
      <t>weberenova ANTIFISURAS [variante]</t>
    </r>
    <r>
      <rPr>
        <sz val="8"/>
        <color theme="1"/>
        <rFont val="Weber"/>
      </rPr>
      <t xml:space="preserve">, consistente en: </t>
    </r>
  </si>
  <si>
    <r>
      <t xml:space="preserve">Sistema bicapa natural y de alta transpirabilidad para la renovación de fachadas antiguas </t>
    </r>
    <r>
      <rPr>
        <sz val="8"/>
        <color theme="1"/>
        <rFont val="Weber Name"/>
      </rPr>
      <t xml:space="preserve">weberenova CAL [variante] </t>
    </r>
    <r>
      <rPr>
        <sz val="8"/>
        <color theme="1"/>
        <rFont val="Weber"/>
      </rPr>
      <t xml:space="preserve">especialmente diseñado para la impermeabilización, decoración y una protección duradera, consistente en: </t>
    </r>
  </si>
  <si>
    <r>
      <t xml:space="preserve">Sistema de aislamiento térmico por el exterior en fachada </t>
    </r>
    <r>
      <rPr>
        <sz val="8"/>
        <color theme="1"/>
        <rFont val="Weber Name"/>
      </rPr>
      <t>webertherm MINERAL [variante]</t>
    </r>
    <r>
      <rPr>
        <sz val="8"/>
        <color theme="1"/>
        <rFont val="Weber"/>
      </rPr>
      <t xml:space="preserve">, con ETA 18/0165 </t>
    </r>
  </si>
  <si>
    <r>
      <t xml:space="preserve">Sistema de aislamiento térmico por el exterior en fachada acabado con pieza cerámica de formato grande </t>
    </r>
    <r>
      <rPr>
        <sz val="8"/>
        <color theme="1"/>
        <rFont val="Weber Name"/>
      </rPr>
      <t>webertherm CERAMIC PLUS [variante]</t>
    </r>
    <r>
      <rPr>
        <sz val="8"/>
        <color theme="1"/>
        <rFont val="Weber"/>
      </rPr>
      <t xml:space="preserve">, con ETA 17/0236 </t>
    </r>
  </si>
  <si>
    <r>
      <t xml:space="preserve">Sistema de aislamiento térmico por el exterior en fachada acabado con pieza cerámica de formato pequeño </t>
    </r>
    <r>
      <rPr>
        <sz val="8"/>
        <color theme="1"/>
        <rFont val="Weber Name"/>
      </rPr>
      <t>webertherm CERAMIC OPTIMA [variante]</t>
    </r>
    <r>
      <rPr>
        <sz val="8"/>
        <color theme="1"/>
        <rFont val="Weber"/>
      </rPr>
      <t xml:space="preserve">, con ETA 17/0236 </t>
    </r>
  </si>
  <si>
    <r>
      <t xml:space="preserve">Sistema de aislamiento térmico por el exterior en fachada </t>
    </r>
    <r>
      <rPr>
        <sz val="8"/>
        <color theme="1"/>
        <rFont val="Weber Name"/>
      </rPr>
      <t>webertherm FLEX [variante]</t>
    </r>
    <r>
      <rPr>
        <sz val="8"/>
        <color theme="1"/>
        <rFont val="Weber"/>
      </rPr>
      <t xml:space="preserve">, con ETA 05/0047 </t>
    </r>
  </si>
  <si>
    <t>webertherm PLACA EPS</t>
  </si>
  <si>
    <t>webertherm PLACA EPS GRAFITO</t>
  </si>
  <si>
    <t>webertherm PLACA XPS</t>
  </si>
  <si>
    <t>webertherm PLACA PF</t>
  </si>
  <si>
    <t>webertherm PLACA CLIMA 34</t>
  </si>
  <si>
    <t>webertherm PLACA TF PROFI</t>
  </si>
  <si>
    <t>webertherm PLACA DUO</t>
  </si>
  <si>
    <t>webertherm PLACA MD</t>
  </si>
  <si>
    <t>webertherm AISLONE</t>
  </si>
  <si>
    <t>webertherm PLACA CORCHO</t>
  </si>
  <si>
    <r>
      <t xml:space="preserve">suministro de las placas aislantes de corcho aglomerado 100% natural y sin aditivos, </t>
    </r>
    <r>
      <rPr>
        <sz val="8"/>
        <color rgb="FF00B050"/>
        <rFont val="Weber Name"/>
      </rPr>
      <t>webertherm PLACA CORCHO</t>
    </r>
    <r>
      <rPr>
        <sz val="8"/>
        <rFont val="Weber"/>
      </rPr>
      <t xml:space="preserve">, con código de designación según la norma ICB-EN 13170: L2 - W2 - T1 - MU5-10 - TR50 - CS(10)90 - BS150, Euroclase E de reacción al fuego, </t>
    </r>
    <r>
      <rPr>
        <sz val="8"/>
        <color theme="1"/>
        <rFont val="Weber"/>
      </rPr>
      <t xml:space="preserve">conductividad térmica 0,040 W/m·K y densidad 110 kg/m³, en el espesor establecido por la dirección facultativa. Las placas deben ser colocadas en posición horizontal en filas sucesivas, de abajo a arriba, a rompe-juntas en relación con la hilera anterior, </t>
    </r>
  </si>
  <si>
    <t xml:space="preserve">suministro de mortero termoaislante webertherm AISLONE compuesto a base de cal (conglomerantes hidráulicos), cargas minerales, aligerantes y aditivos especiales, de color amarillo y conductividad térmica 0,042 W/m·k, en el espesor establecido por la dirección facultativa, previa imprimación adecuada según soporte (weberprim TP05, en caso de soportes muy absorbentes o sin dureza superficial; o weberprim FX15, en caso de soportes muy lisos o poco absorbentes como hormigón). Tratamiento de refuerzo previo mediante mortero monocomponente de regularización, webertherm BASEGEL, armado con malla de refuerzo de fibra de vidrio, webertherm malla 160 en encuentros entre soportes de diferente naturaleza (no incluido). </t>
  </si>
  <si>
    <r>
      <t xml:space="preserve">suministro de las placas aislantes de lana de roca volcánica de doble densidad, </t>
    </r>
    <r>
      <rPr>
        <sz val="8"/>
        <color rgb="FF00B050"/>
        <rFont val="Calibri Light"/>
        <family val="2"/>
      </rPr>
      <t>webertherm PLACA DUO</t>
    </r>
    <r>
      <rPr>
        <sz val="8"/>
        <color theme="1"/>
        <rFont val="Calibri Light"/>
        <family val="2"/>
      </rPr>
      <t xml:space="preserve">, con código de designación según la norma MW-EN 13162: T5 - WS - WL(P) - MU1 - CS(10\Y20) - TR7,5 - PL(5)300 - DS(70,90), Euroclase A1 de reacción al fuego, conductividad térmica 0,036 W/m·K y densidades 120 kg/m² (capa superior) y 70 kg/m² (capa inferior), en el espesor establecido por la dirección facultativa. Las placas deben ser colocadas en posición horizontal en filas sucesivas, de abajo a arriba, a rompe-juntas en relación con la hilera anterior, </t>
    </r>
  </si>
  <si>
    <r>
      <t>suministro de las placas aislantes rígidas de lana de roca volcánica de monodensidad no revestidas,</t>
    </r>
    <r>
      <rPr>
        <sz val="8"/>
        <color rgb="FF00B050"/>
        <rFont val="Calibri Light"/>
        <family val="2"/>
      </rPr>
      <t xml:space="preserve"> webertherm PLACA MD</t>
    </r>
    <r>
      <rPr>
        <sz val="8"/>
        <color theme="1"/>
        <rFont val="Calibri Light"/>
        <family val="2"/>
      </rPr>
      <t xml:space="preserve">, con código de designación según la norma MW-EN 13162: T5 - WS - WL(P) - MU1 - CS35 - TR10 - DS(70,90), Euroclase A1 de reacción al fuego, conductividad térmica 0,036 W/m·K y densidad 120 kg/m², en el espesor establecido por la dirección facultativa. Las placas deben ser colocadas en posición horizontal en filas sucesivas, de abajo a arriba, a rompe-juntas en relación con la hilera anterior, </t>
    </r>
  </si>
  <si>
    <r>
      <t xml:space="preserve">suministro de las placas aislantes rígidas de lana de roca monodensidad, </t>
    </r>
    <r>
      <rPr>
        <sz val="8"/>
        <color rgb="FF00B050"/>
        <rFont val="Weber Name"/>
      </rPr>
      <t>webertherm PLACA TF PROFI</t>
    </r>
    <r>
      <rPr>
        <sz val="8"/>
        <color theme="1"/>
        <rFont val="Weber"/>
      </rPr>
      <t xml:space="preserve">, con código de designación según la norma MW-EN 13162: T5 - DS(TH) - CS(10)30 - TR10 - WS - WL(P) - MU1, Euroclase A1 de reacción al fuego y conductividad térmica 0,035 W/m·K, en el espesor establecido por la dirección facultativa. Las placas deben ser colocadas en posición horizontal en filas sucesivas, de abajo a arriba, a rompe-juntas en relación con la hilera anterior, </t>
    </r>
  </si>
  <si>
    <r>
      <t xml:space="preserve">suministro de las placas aislantes rígidas de lana de vidrio de alta densidad, </t>
    </r>
    <r>
      <rPr>
        <sz val="8"/>
        <color rgb="FF00B050"/>
        <rFont val="Weber Name"/>
      </rPr>
      <t>webertherm PLACA CLIMA 34</t>
    </r>
    <r>
      <rPr>
        <sz val="8"/>
        <color theme="1"/>
        <rFont val="Weber"/>
      </rPr>
      <t xml:space="preserve">, con código de designación según la norma MW-EN 13162: T5 - WS - MU1 - CS(10)15 - TR7,5, Euroclase A2-s1,d0 de reacción al fuego y conductividad térmica 0,034 W/m·K, en el espesor establecido por la dirección facultativa. Las placas deben ser colocadas en posición horizontal en filas sucesivas, de abajo a arriba, a rompe-juntas en relación con la hilera anterior, </t>
    </r>
  </si>
  <si>
    <r>
      <t xml:space="preserve">suministro de las placas aislantes de espuma fenólica protegida con fibra de vidrio </t>
    </r>
    <r>
      <rPr>
        <sz val="8"/>
        <color rgb="FF00B050"/>
        <rFont val="Weber Name"/>
      </rPr>
      <t>webertherm PLACA PF</t>
    </r>
    <r>
      <rPr>
        <sz val="8"/>
        <rFont val="Weber"/>
      </rPr>
      <t xml:space="preserve">, con Euroclase C-s2,d0 de reacción al fuego y conductividad térmica 0,021 W/m·K, en el espesor establecido por la dirección facultativa. Las placas deben ser colocadas en posición horizontal en filas sucesivas, de abajo a arriba, a rompe-juntas en relación con la hilera anterior, </t>
    </r>
  </si>
  <si>
    <r>
      <t xml:space="preserve">suministro de las placas aislantes de poliestireno extruido (XPS) sin piel, </t>
    </r>
    <r>
      <rPr>
        <sz val="8"/>
        <color rgb="FF00B050"/>
        <rFont val="Weber Name"/>
      </rPr>
      <t>webertherm PLACA XPS</t>
    </r>
    <r>
      <rPr>
        <sz val="8"/>
        <color theme="1"/>
        <rFont val="Weber"/>
      </rPr>
      <t xml:space="preserve">, con código de designación según norma XPS-EN 13164: T1 - MU150 - CS(10\Y)300 - WL(T)0,7, Euroclase E de reacción al fuego, y conductividad térmica 0,034 W/m·K, en el espesor establecido por la dirección facultativa. Las placas deben ser colocadas en posición horizontal en filas sucesivas, de abajo a arriba, a rompe-juntas en relación con la hilera anterior, </t>
    </r>
  </si>
  <si>
    <r>
      <t>suministro  de las placas aislantes de poliestireno expandido (EPS) estabilizad</t>
    </r>
    <r>
      <rPr>
        <sz val="8"/>
        <rFont val="Weber"/>
      </rPr>
      <t>as con añadido de grafito</t>
    </r>
    <r>
      <rPr>
        <sz val="8"/>
        <color theme="1"/>
        <rFont val="Weber"/>
      </rPr>
      <t xml:space="preserve">, </t>
    </r>
    <r>
      <rPr>
        <sz val="8"/>
        <color rgb="FF00B050"/>
        <rFont val="Weber Name"/>
      </rPr>
      <t>webertherm PLACA EPS GRAFITO</t>
    </r>
    <r>
      <rPr>
        <sz val="8"/>
        <color theme="1"/>
        <rFont val="Weber"/>
      </rPr>
      <t xml:space="preserve">, con código de designación según la norma EPS-EN 13163: L2 - W2 - T2 - S2 - P4 - DS(N)2 - </t>
    </r>
    <r>
      <rPr>
        <sz val="8"/>
        <rFont val="Weber"/>
      </rPr>
      <t>MU30-70 - TR100 - CS(10)60 – BS100</t>
    </r>
    <r>
      <rPr>
        <sz val="8"/>
        <color theme="1"/>
        <rFont val="Weber"/>
      </rPr>
      <t xml:space="preserve">, Euroclase E de reacción al fuego y conductividad térmica 0,032 W/m·K, en el espesor establecido por la dirección facultativa. Las placas deben ser colocadas en posición horizontal en filas sucesivas, de abajo a arriba, a rompe-juntas en relación con la hilera anterior, </t>
    </r>
  </si>
  <si>
    <r>
      <t xml:space="preserve">suministro de las placas aislantes de poliestireno expandido (EPS) estabilizadas, </t>
    </r>
    <r>
      <rPr>
        <sz val="8"/>
        <color rgb="FF00B050"/>
        <rFont val="Weber Name"/>
      </rPr>
      <t>webertherm PLACA EPS</t>
    </r>
    <r>
      <rPr>
        <sz val="8"/>
        <color theme="1"/>
        <rFont val="Weber"/>
      </rPr>
      <t xml:space="preserve">, con código de designación según la norma EPS-EN 13163: L2 - W2 - T2 - S2 </t>
    </r>
    <r>
      <rPr>
        <sz val="8"/>
        <rFont val="Weber"/>
      </rPr>
      <t>- P5 - DS(70,-)1, DS(70,90)1</t>
    </r>
    <r>
      <rPr>
        <sz val="8"/>
        <color theme="1"/>
        <rFont val="Weber"/>
      </rPr>
      <t xml:space="preserve"> - DS(N)2 - MU60 - TR150 - CS(10)60 – BS150 – WL(T)5, Euroclase E de reacción al fuego y conductividad térmica 0,037 W/m·K, en el espesor establecido por la dirección facultativa. Las placas deben ser colocadas en posición horizontal en filas sucesivas, de abajo a arriba, a rompe-juntas en relación con la hilera anterior, </t>
    </r>
  </si>
  <si>
    <r>
      <t xml:space="preserve">Colocación de la/s primera/s hilera, en contacto con el suelo, de placas aislantes de espuma fenólica protegida con fibra de vidrio </t>
    </r>
    <r>
      <rPr>
        <sz val="8"/>
        <color rgb="FF00B050"/>
        <rFont val="Weber Name"/>
      </rPr>
      <t>webertherm PLACA PF</t>
    </r>
    <r>
      <rPr>
        <sz val="8"/>
        <rFont val="Weber"/>
      </rPr>
      <t xml:space="preserve">, con Euroclase C-s2,d0 de reacción al fuego y conductividad térmica 0,021 W/m·K, en el espesor establecido por la dirección facultativa, </t>
    </r>
  </si>
  <si>
    <r>
      <t xml:space="preserve">Colocación de la/s primera/s hilera, en contacto con el suelo, de placas aislantes de poliestireno extruido (XPS) sin piel, </t>
    </r>
    <r>
      <rPr>
        <sz val="8"/>
        <color theme="1"/>
        <rFont val="Weber Name"/>
      </rPr>
      <t>webertherm PLACA XPS</t>
    </r>
    <r>
      <rPr>
        <sz val="8"/>
        <color theme="1"/>
        <rFont val="Weber"/>
      </rPr>
      <t xml:space="preserve">, con código de designación según norma XPS-EN 13164: T1 - MU150 - CS(10\Y)300 - WL(T)0,7, Euroclase E de reacción al fuego, y conductividad térmica 0,034 W/m·K, en el espesor establecido por la dirección facultativa, </t>
    </r>
  </si>
  <si>
    <r>
      <t>Colocación de la/s primera/s hilera, en contacto con el suelo, de placas aislantes de poliestireno expandido (EPS) estabilizad</t>
    </r>
    <r>
      <rPr>
        <sz val="8"/>
        <rFont val="Weber"/>
      </rPr>
      <t>as con añadido de grafito</t>
    </r>
    <r>
      <rPr>
        <sz val="8"/>
        <color theme="1"/>
        <rFont val="Weber"/>
      </rPr>
      <t xml:space="preserve">, </t>
    </r>
    <r>
      <rPr>
        <sz val="8"/>
        <color rgb="FF00B050"/>
        <rFont val="Weber Name"/>
      </rPr>
      <t>webertherm PLACA EPS GRAFITO</t>
    </r>
    <r>
      <rPr>
        <sz val="8"/>
        <color theme="1"/>
        <rFont val="Weber"/>
      </rPr>
      <t xml:space="preserve">, con código de designación según la norma EPS-EN 13163: L2 - W2 - T2 - S2 - P4 - DS(N)2 - </t>
    </r>
    <r>
      <rPr>
        <sz val="8"/>
        <rFont val="Weber"/>
      </rPr>
      <t>MU30-70 - TR100 - CS(10)60 – BS100</t>
    </r>
    <r>
      <rPr>
        <sz val="8"/>
        <color theme="1"/>
        <rFont val="Weber"/>
      </rPr>
      <t xml:space="preserve">, Euroclase E de reacción al fuego y conductividad térmica 0,032 W/m·K, en el espesor establecido por la dirección facultativa, </t>
    </r>
  </si>
  <si>
    <r>
      <t xml:space="preserve">Colocación de la/s primera/s hilera, en contacto con el suelo, de placas aislantes de poliestireno expandido (EPS) estabilizadas, </t>
    </r>
    <r>
      <rPr>
        <sz val="8"/>
        <color rgb="FF00B050"/>
        <rFont val="Weber Name"/>
      </rPr>
      <t>webertherm PLACA EPS</t>
    </r>
    <r>
      <rPr>
        <sz val="8"/>
        <color theme="1"/>
        <rFont val="Weber"/>
      </rPr>
      <t xml:space="preserve">, con código de designación según la norma EPS-EN 13163: L2 - W2 - T2 - S2 </t>
    </r>
    <r>
      <rPr>
        <sz val="8"/>
        <rFont val="Weber"/>
      </rPr>
      <t>- P5 - DS(70,-)1, DS(70,90)1</t>
    </r>
    <r>
      <rPr>
        <sz val="8"/>
        <color theme="1"/>
        <rFont val="Weber"/>
      </rPr>
      <t xml:space="preserve"> - DS(N)2 - MU60 - TR150 - CS(10)60 – BS150 – WL(T)5, Euroclase E de reacción al fuego y conductividad térmica 0,037 W/m·K, en el espesor establecido por la dirección facultativa, </t>
    </r>
  </si>
  <si>
    <t xml:space="preserve">webertherm ESPIGA </t>
  </si>
  <si>
    <r>
      <t xml:space="preserve">Una vez seco el mortero de adhesión (transcurridas 24 horas), las placas serán ancladas mecánicamente con espigas de fijación </t>
    </r>
    <r>
      <rPr>
        <sz val="8"/>
        <color theme="1"/>
        <rFont val="Weber Name"/>
      </rPr>
      <t>webertherm ESPIGA</t>
    </r>
    <r>
      <rPr>
        <sz val="8"/>
        <color theme="1"/>
        <rFont val="Weber"/>
      </rPr>
      <t xml:space="preserve"> (modelo a elegir por la dirección facultativa en función del tipo de soporte), </t>
    </r>
  </si>
  <si>
    <r>
      <t xml:space="preserve">Una vez seco el mortero de adhesión (transcurridas 24 horas), las placas serán ancladas mecánicamente con espigas de fijación de núcleo metálico </t>
    </r>
    <r>
      <rPr>
        <sz val="8"/>
        <color theme="1"/>
        <rFont val="Weber Name"/>
      </rPr>
      <t>webertherm ESPIGA SLD 5</t>
    </r>
    <r>
      <rPr>
        <sz val="8"/>
        <color theme="1"/>
        <rFont val="Weber"/>
      </rPr>
      <t xml:space="preserve">, instaladas mediante golpeo, </t>
    </r>
  </si>
  <si>
    <r>
      <t xml:space="preserve">Una vez seco el mortero de adhesión (transcurridas 24 horas), las placas serán ancladas mecánicamente con espigas de fijación de núcleo metálico </t>
    </r>
    <r>
      <rPr>
        <sz val="8"/>
        <color theme="1"/>
        <rFont val="Weber Name"/>
      </rPr>
      <t>webertherm ESPIGA SRD 5</t>
    </r>
    <r>
      <rPr>
        <sz val="8"/>
        <color theme="1"/>
        <rFont val="Weber"/>
      </rPr>
      <t xml:space="preserve">, atornilladas mediante avellanado o planas en superficie, </t>
    </r>
  </si>
  <si>
    <r>
      <t xml:space="preserve">Una vez seco el mortero de adhesión (transcurridas 24 horas), las placas serán ancladas mecánicamente con espigas de fijación de núcleo de polipropileno </t>
    </r>
    <r>
      <rPr>
        <sz val="8"/>
        <color theme="1"/>
        <rFont val="Weber Name"/>
      </rPr>
      <t>webertherm ESPIGA H3</t>
    </r>
    <r>
      <rPr>
        <sz val="8"/>
        <color theme="1"/>
        <rFont val="Weber"/>
      </rPr>
      <t xml:space="preserve">, instaladas mediante golpeo, </t>
    </r>
  </si>
  <si>
    <r>
      <t xml:space="preserve">Una vez seco el mortero de adhesión (transcurridas 24 horas), las placas serán ancladas mecánicamente con espigas de fijación universales atornilladas </t>
    </r>
    <r>
      <rPr>
        <sz val="8"/>
        <color theme="1"/>
        <rFont val="Weber Name"/>
      </rPr>
      <t>webertherm ESPIGA STR H</t>
    </r>
    <r>
      <rPr>
        <sz val="8"/>
        <color theme="1"/>
        <rFont val="Weber"/>
      </rPr>
      <t xml:space="preserve">, con puente térmico optimizado (mediante </t>
    </r>
    <r>
      <rPr>
        <sz val="8"/>
        <color theme="1"/>
        <rFont val="Weber Name"/>
      </rPr>
      <t>webertherm TAPÓN STR EPS</t>
    </r>
    <r>
      <rPr>
        <sz val="8"/>
        <color theme="1"/>
        <rFont val="Weber"/>
      </rPr>
      <t xml:space="preserve">), especialmente indicadas para soportes de madera o metal e instaladas mediante avellanado o planas en superficie, </t>
    </r>
  </si>
  <si>
    <r>
      <t xml:space="preserve">A continuación, se realizará el anclaje mecánico con espigas de fijación </t>
    </r>
    <r>
      <rPr>
        <sz val="8"/>
        <color theme="1"/>
        <rFont val="Weber Name"/>
      </rPr>
      <t>webertherm ESPIGA</t>
    </r>
    <r>
      <rPr>
        <sz val="8"/>
        <color theme="1"/>
        <rFont val="Weber"/>
      </rPr>
      <t xml:space="preserve"> (modelo a elegir por la dirección facultativa en función del tipo de soporte), colocadas a razón de 1 espiga/m² mínimo, incrementando el número de éstas en zonas elevadas y expuestas a la succión del viento y penetrando en el soporte más de 30 mm; </t>
    </r>
  </si>
  <si>
    <r>
      <t xml:space="preserve">A continuación, se realizará el anclaje mecánico con espigas de fijación de núcleo metálico </t>
    </r>
    <r>
      <rPr>
        <sz val="8"/>
        <color theme="1"/>
        <rFont val="Weber Name"/>
      </rPr>
      <t>webertherm ESPIGA SLD 5</t>
    </r>
    <r>
      <rPr>
        <sz val="8"/>
        <color theme="1"/>
        <rFont val="Weber"/>
      </rPr>
      <t xml:space="preserve">, instaladas mediante golpeo a razón de 1 espiga/m² mínimo, incrementando el número de éstas en zonas elevadas y expuestas a la succión del viento y penetrando en el soporte más de 30 mm; </t>
    </r>
  </si>
  <si>
    <r>
      <t xml:space="preserve">A continuación, se realizará el anclaje mecánico con espigas de fijación de núcleo metálico </t>
    </r>
    <r>
      <rPr>
        <sz val="8"/>
        <color theme="1"/>
        <rFont val="Weber Name"/>
      </rPr>
      <t>webertherm ESPIGA SRD 5</t>
    </r>
    <r>
      <rPr>
        <sz val="8"/>
        <color theme="1"/>
        <rFont val="Weber"/>
      </rPr>
      <t xml:space="preserve">, atornilladas mediante avellanado o planas en superficie y colocadas a razón de 1 espiga/m² mínimo, incrementando el número de éstas en zonas elevadas y expuestas a la succión del viento y penetrando en el soporte más de 30 mm; </t>
    </r>
  </si>
  <si>
    <r>
      <t xml:space="preserve">A continuación, se realizará el anclaje mecánico con espigas de fijación de núcleo de polipropileno </t>
    </r>
    <r>
      <rPr>
        <sz val="8"/>
        <color theme="1"/>
        <rFont val="Weber Name"/>
      </rPr>
      <t>webertherm ESPIGA H3</t>
    </r>
    <r>
      <rPr>
        <sz val="8"/>
        <color theme="1"/>
        <rFont val="Weber"/>
      </rPr>
      <t xml:space="preserve">, instaladas mediante golpeo a razón de 1 espiga/m² mínimo, incrementando el número de éstas en zonas elevadas y expuestas a la succión del viento y penetrando en el soporte más de 30 mm; </t>
    </r>
  </si>
  <si>
    <t>webertherm ESPIGA H3</t>
  </si>
  <si>
    <t>webertherm ESPIGA SRD-5</t>
  </si>
  <si>
    <t>webertherm ESPIGA SLD-5</t>
  </si>
  <si>
    <t>webertherm ESPIGA STR H</t>
  </si>
  <si>
    <r>
      <t xml:space="preserve">Una vez seco el mortero de adhesión (transcurridas 24 horas), las placas serán ancladas mecánicamente con espigas de fijación </t>
    </r>
    <r>
      <rPr>
        <sz val="8"/>
        <color theme="1"/>
        <rFont val="Weber Name"/>
      </rPr>
      <t>webertherm ESPIGA</t>
    </r>
    <r>
      <rPr>
        <sz val="8"/>
        <color theme="1"/>
        <rFont val="Weber"/>
      </rPr>
      <t xml:space="preserve"> (modelo a elegir por la dirección facultativa en función del tipo de soporte), sin perforar la impermeabilización. </t>
    </r>
  </si>
  <si>
    <r>
      <t xml:space="preserve">Una vez seco el mortero de adhesión (transcurridas 24 horas), las placas serán ancladas mecánicamente con espigas de fijación de núcleo metálico </t>
    </r>
    <r>
      <rPr>
        <sz val="8"/>
        <color theme="1"/>
        <rFont val="Weber Name"/>
      </rPr>
      <t>webertherm ESPIGA SLD 5</t>
    </r>
    <r>
      <rPr>
        <sz val="8"/>
        <color theme="1"/>
        <rFont val="Weber"/>
      </rPr>
      <t xml:space="preserve">, instaladas mediante golpeo, sin perforar la impermeabilización. </t>
    </r>
  </si>
  <si>
    <r>
      <t xml:space="preserve">Una vez seco el mortero de adhesión (transcurridas 24 horas), las placas serán ancladas mecánicamente con espigas de fijación de núcleo metálico </t>
    </r>
    <r>
      <rPr>
        <sz val="8"/>
        <color theme="1"/>
        <rFont val="Weber Name"/>
      </rPr>
      <t>webertherm ESPIGA SRD 5</t>
    </r>
    <r>
      <rPr>
        <sz val="8"/>
        <color theme="1"/>
        <rFont val="Weber"/>
      </rPr>
      <t xml:space="preserve">, atornilladas mediante avellanado o planas en superficie, sin perforar la impermeabilización. </t>
    </r>
  </si>
  <si>
    <r>
      <t xml:space="preserve">Una vez seco el mortero de adhesión (transcurridas 24 horas), las placas serán ancladas mecánicamente con espigas de fijación de núcleo de polipropileno </t>
    </r>
    <r>
      <rPr>
        <sz val="8"/>
        <color theme="1"/>
        <rFont val="Weber Name"/>
      </rPr>
      <t>webertherm ESPIGA H3</t>
    </r>
    <r>
      <rPr>
        <sz val="8"/>
        <color theme="1"/>
        <rFont val="Weber"/>
      </rPr>
      <t xml:space="preserve">, instaladas mediante golpeo, sin perforar la impermeabilización. </t>
    </r>
  </si>
  <si>
    <r>
      <t xml:space="preserve">fijadas mecánicamente con espigas de núcleo metálico </t>
    </r>
    <r>
      <rPr>
        <sz val="8"/>
        <color theme="1"/>
        <rFont val="Weber Name"/>
      </rPr>
      <t>webertherm ESPIGA SRD 5</t>
    </r>
    <r>
      <rPr>
        <sz val="8"/>
        <color theme="1"/>
        <rFont val="Weber"/>
      </rPr>
      <t xml:space="preserve">, atornilladas mediante la técnica de avellanado, colocadas a razón de 10 espigas/m² mínimo, incrementando el número de éstas en zonas elevadas y expuestas a la succión del viento, y cubrición de los cabezales y enrasado con superficie mediante tapas de lana mineral, </t>
    </r>
    <r>
      <rPr>
        <sz val="8"/>
        <color theme="1"/>
        <rFont val="Weber Name"/>
      </rPr>
      <t>webertherm TAPA STR LM</t>
    </r>
    <r>
      <rPr>
        <sz val="8"/>
        <color theme="1"/>
        <rFont val="Weber"/>
      </rPr>
      <t xml:space="preserve">. </t>
    </r>
  </si>
  <si>
    <r>
      <t>colocadas a razón de 5,5 espigas/m² mínimo, incrementando el número de éstas en zonas elevadas y expuestas a la succión del viento. En caso de elegir espigas a golpeo deberán ser complementadas con</t>
    </r>
    <r>
      <rPr>
        <sz val="8"/>
        <color rgb="FF00B050"/>
        <rFont val="Weber"/>
      </rPr>
      <t xml:space="preserve"> </t>
    </r>
    <r>
      <rPr>
        <sz val="8"/>
        <color rgb="FF00B050"/>
        <rFont val="Weber Name"/>
      </rPr>
      <t>webertherm ARANDELA 140</t>
    </r>
    <r>
      <rPr>
        <sz val="8"/>
        <color theme="1"/>
        <rFont val="Weber"/>
      </rPr>
      <t xml:space="preserve">. </t>
    </r>
  </si>
  <si>
    <r>
      <t xml:space="preserve">Posteriormente se realizará el revestimiento de las placas aislantes con </t>
    </r>
    <r>
      <rPr>
        <sz val="8"/>
        <color rgb="FF00B050"/>
        <rFont val="Weber Name"/>
      </rPr>
      <t>webertherm BASEGEL</t>
    </r>
    <r>
      <rPr>
        <sz val="8"/>
        <rFont val="Weber"/>
      </rPr>
      <t xml:space="preserve">, aplicado en un espesor de 2-3 mm por mano, </t>
    </r>
  </si>
  <si>
    <r>
      <t xml:space="preserve">Posteriormente se realizará el revestimiento de las placas aislantes con </t>
    </r>
    <r>
      <rPr>
        <sz val="8"/>
        <color rgb="FF00B050"/>
        <rFont val="Weber Name"/>
      </rPr>
      <t>webertherm BASE PLUS,</t>
    </r>
    <r>
      <rPr>
        <sz val="8"/>
        <color rgb="FF00B050"/>
        <rFont val="Weber"/>
      </rPr>
      <t xml:space="preserve"> </t>
    </r>
    <r>
      <rPr>
        <sz val="8"/>
        <color theme="1"/>
        <rFont val="Weber"/>
      </rPr>
      <t xml:space="preserve">aplicado en un espesor de 2-3 mm por mano, </t>
    </r>
  </si>
  <si>
    <r>
      <t xml:space="preserve">Posteriormente se realizará el revestimiento de las placas aislantes con </t>
    </r>
    <r>
      <rPr>
        <sz val="8"/>
        <color rgb="FF00B050"/>
        <rFont val="Weber Name"/>
      </rPr>
      <t>webertherm FLEX B</t>
    </r>
    <r>
      <rPr>
        <sz val="8"/>
        <color theme="1"/>
        <rFont val="Weber"/>
      </rPr>
      <t xml:space="preserve">, aplicado en un espesor de 1-2 mm por mano, </t>
    </r>
  </si>
  <si>
    <r>
      <t xml:space="preserve">en dos manos y armado con malla de fibra de vidrio alcalino-resistente antivandálica </t>
    </r>
    <r>
      <rPr>
        <sz val="8"/>
        <color theme="1"/>
        <rFont val="Weber Name"/>
      </rPr>
      <t>webertherm MALLA 320</t>
    </r>
    <r>
      <rPr>
        <sz val="8"/>
        <color theme="1"/>
        <rFont val="Weber"/>
      </rPr>
      <t xml:space="preserve">, con apertura del entramado 6,0 x 6,0 mm, 330 g/m², espesor 0,90 mm, valor nominal de resistencia a tracción en condiciones estándar de 4000 / 4500 y resistencia a elongación 4,5 / 4,5, embebida en la mitad del espesor; se aplicará una primera mano de mortero regularizador sobre la que se colocará, en fresco, la malla de refuerzo. Pasadas 24h y ya seca la primera mano, se aplicará una segunda mano de mortero regularizador cubriendo la malla en su totalidad y dejando una superficie lisa y apta para recibir el acabado. </t>
    </r>
  </si>
  <si>
    <r>
      <t xml:space="preserve">en dos manos y armado con malla de fibra de vidrio alcalino-resistente </t>
    </r>
    <r>
      <rPr>
        <sz val="8"/>
        <color theme="1"/>
        <rFont val="Weber Name"/>
      </rPr>
      <t>webertherm MALLA 160</t>
    </r>
    <r>
      <rPr>
        <sz val="8"/>
        <color theme="1"/>
        <rFont val="Weber"/>
      </rPr>
      <t xml:space="preserve">, con apertura del entramado 3,5 x 3,8 mm, 160 g/m², espesor 0,52 mm, valor nominal de resistencia a tracción en condiciones estándar de 2200 / 2200 y resistencia a elongación 3,8 / 3,8, embebida en la mitad del espesor; se aplicará una primera mano de mortero regularizador sobre la que se colocará, en fresco, la malla de refuerzo. Pasadas 24h y ya seca la primera mano, se aplicará una segunda mano de mortero regularizador cubriendo la malla en su totalidad y dejando una superficie lisa y apta para recibir el acabado. </t>
    </r>
  </si>
  <si>
    <r>
      <t xml:space="preserve">Armado del mortero termoaislante, en toda la superficie, con malla de fibra de vidrio antiálcalis </t>
    </r>
    <r>
      <rPr>
        <sz val="8"/>
        <color theme="1"/>
        <rFont val="Weber Name"/>
      </rPr>
      <t>webertherm MALLA 200</t>
    </r>
    <r>
      <rPr>
        <sz val="8"/>
        <color theme="1"/>
        <rFont val="Weber"/>
      </rPr>
      <t xml:space="preserve">, con apertura del entramado 7,0 x 6,5 mm, 195 g/m², espesor 0,65 mm y resistencia a la elongación 4,0 / 4,0, colocada sobre el mortero en fresco, y dejando secar, posteriormente, mínimo 1 día por cada cm de espesor. </t>
    </r>
  </si>
  <si>
    <r>
      <t xml:space="preserve">en dos manos y armado con malla de fibra de vidrio alcalino-resistente </t>
    </r>
    <r>
      <rPr>
        <sz val="8"/>
        <color theme="1"/>
        <rFont val="Weber Name"/>
      </rPr>
      <t>webertherm MALLA 320</t>
    </r>
    <r>
      <rPr>
        <sz val="8"/>
        <color theme="1"/>
        <rFont val="Weber"/>
      </rPr>
      <t xml:space="preserve">, con apertura del entramado 6,0 x 6,0 mm, 330 g/m², espesor 0,90 mm, valor nominal de resistencia a tracción en condiciones estándar de 4000 / 4500 y resistencia a elongación 4,5 / 4,5, embebida en la mitad del espesor; se aplicará una primera mano de mortero regularizador sobre la que se colocará, en fresco, la malla de refuerzo. Pasadas 24h y ya seca la primera mano, se fijará la </t>
    </r>
    <r>
      <rPr>
        <sz val="8"/>
        <rFont val="Weber"/>
      </rPr>
      <t>malla al soporte con</t>
    </r>
    <r>
      <rPr>
        <sz val="8"/>
        <rFont val="Weber Name"/>
      </rPr>
      <t xml:space="preserve"> webertherm ESPIGA STR U 2G</t>
    </r>
    <r>
      <rPr>
        <sz val="8"/>
        <rFont val="Weber"/>
      </rPr>
      <t xml:space="preserve">, anclaje universal atornillado con puente térmico optimizado, con marcaje según la ETAG 014 y valor de extracción mínimo de 1,20 kN sobre soporte de ladrillo perforado, colocadas a razón de 1 espiga/m². Finalmente se cubrirá la malla y las espigas con una última capa de mortero de regularización dejando una superficie rugosa y apta para recibir el acabado cerámico. </t>
    </r>
  </si>
  <si>
    <r>
      <t xml:space="preserve">en tres manos y armado con doble malla de fibra de vidrio alcalino-resistente, </t>
    </r>
    <r>
      <rPr>
        <sz val="8"/>
        <rFont val="Weber Name"/>
      </rPr>
      <t>webertherm MALLA 160</t>
    </r>
    <r>
      <rPr>
        <sz val="8"/>
        <rFont val="Weber"/>
      </rPr>
      <t>, con apertura del entramado 3,5 x 3,8 mm, 131 g/m², espesor 0,52 mm, valor nominal de resistencia a tracción en condiciones estándar de 2200 / 2200 y resistencia a elongación 3,8 / 3,8, embebida en la mitad del espesor;</t>
    </r>
    <r>
      <rPr>
        <sz val="8"/>
        <color theme="1"/>
        <rFont val="Weber"/>
      </rPr>
      <t xml:space="preserve"> se aplicará una primera mano de mortero regularizador sobre la que se colocará, en fresco, la malla de refuerzo. Pasadas 24h y ya seca la primera mano, se aplicará una segunda mano de mortero regularizador extendiéndolo por la superficie con llana dentada de 8 x 8 mm y a continuación se colocará, en fresco, una segunda malla. Pasadas 24h y ya seca la segunda mano, se fijarán ambas mallas al soporte con </t>
    </r>
    <r>
      <rPr>
        <sz val="8"/>
        <color theme="1"/>
        <rFont val="Weber Name"/>
      </rPr>
      <t>webertherm ESPIGA STR U 2G</t>
    </r>
    <r>
      <rPr>
        <sz val="8"/>
        <color theme="1"/>
        <rFont val="Weber"/>
      </rPr>
      <t xml:space="preserve">, anclaje universal atornillado con puente térmico optimizado, con marcaje según la ETAG 014 y valor de extracción mínimo de 1,20 kN sobre soporte de ladrillo perforado, colocadas a razón de 1 espiga/m². Finalmente se cubrirá la malla y las espigas con una última capa de mortero de regularización dejando una superficie rugosa y apta para recibir el acabado cerámico. </t>
    </r>
  </si>
  <si>
    <r>
      <t xml:space="preserve">Suministro y aplicación de mortero polimérico, libre de cemento, para regularización de superficies, </t>
    </r>
    <r>
      <rPr>
        <sz val="8"/>
        <color rgb="FF00B050"/>
        <rFont val="Weber Name"/>
      </rPr>
      <t>webertherm FLEX B</t>
    </r>
    <r>
      <rPr>
        <sz val="8"/>
        <color theme="1"/>
        <rFont val="Weber"/>
      </rPr>
      <t xml:space="preserve">, compuesto a base de copolímeros acrílicos en dispersión acuosa, cargas minerales, y aditivos especiales; y las siguientes características técnicas: adherencia sobre enfoscado ≥ 0,25 MPa, μ ≤ 105, y Euroclase B; aplicado en un espesor de 1-2 mm por mano, </t>
    </r>
  </si>
  <si>
    <r>
      <t xml:space="preserve">Suministro y aplicación de mortero monocomponente de altas prestaciones para regularización de superficies, </t>
    </r>
    <r>
      <rPr>
        <sz val="8"/>
        <color rgb="FF00B050"/>
        <rFont val="Weber Name"/>
      </rPr>
      <t>webertherm BASE PLUS</t>
    </r>
    <r>
      <rPr>
        <sz val="8"/>
        <color theme="1"/>
        <rFont val="Weber"/>
      </rPr>
      <t>, compuesto a base de cemento gris, cargas minerales, resinas redispersables en polvo, fibra de vidrio de alta dispersión, materia prima reciclada y aditivos especiales; y con las siguientes características técnicas: adherencia sobre ladrillo cerámico ≥ 0,3 MPa, absorción agua por capilaridad ≤ 0,2 kg/m² ·min</t>
    </r>
    <r>
      <rPr>
        <vertAlign val="superscript"/>
        <sz val="8"/>
        <color theme="1"/>
        <rFont val="Weber"/>
      </rPr>
      <t>0,5</t>
    </r>
    <r>
      <rPr>
        <sz val="8"/>
        <color theme="1"/>
        <rFont val="Weber"/>
      </rPr>
      <t xml:space="preserve"> (Clase W2), μ ≤ 15, resistencia a flexión ≥ 2 MPa, resistencia a compresión ≥ 3,5 MPa (CSIII), reacción al fuego Clase B-s1,d0 y conductividad térmica 0,20-0,25 W/m·K; aplicado en un espesor de 2-3 mm por mano, </t>
    </r>
  </si>
  <si>
    <r>
      <t xml:space="preserve">en dos manos y armado con malla de fibra de vidrio alcalino-resistente tridireccional </t>
    </r>
    <r>
      <rPr>
        <sz val="8"/>
        <color theme="1"/>
        <rFont val="Weber Name"/>
      </rPr>
      <t>webertherm MALLA 3FORCE</t>
    </r>
    <r>
      <rPr>
        <sz val="8"/>
        <color theme="1"/>
        <rFont val="Weber"/>
      </rPr>
      <t xml:space="preserve">, con apertura del entramado 6,0 x 6,0 mm, 160 g/m² y espesor 0,47 mm, embebida en la mitad del espesor; se aplicará una primera mano de mortero regularizador sobre la que se colocará, en fresco, la malla de refuerzo. Pasadas 24h y ya seca la primera mano, se aplicará una segunda mano de mortero regularizador cubriendo la malla en su totalidad y dejando una superficie lisa y apta para recibir el acabado. </t>
    </r>
  </si>
  <si>
    <r>
      <t xml:space="preserve">aplicación de mortero mineral para enfoscados </t>
    </r>
    <r>
      <rPr>
        <sz val="8"/>
        <color theme="1"/>
        <rFont val="Weber Name"/>
      </rPr>
      <t>webercal BASIC</t>
    </r>
    <r>
      <rPr>
        <sz val="8"/>
        <color theme="1"/>
        <rFont val="Weber"/>
      </rPr>
      <t xml:space="preserve"> compuesto a base de cal con conglomerantes hidráulicos, áridos de granulometría compensada y aditivos orgánicos e inorgánicos, de color gris o blanco y de siguientes características técnicas: adherencia sobre mortero y ladrillo ≥ 0,3 MPa, absorción agua por capilaridad Clase W2 (EN 998-1), μ ≤ 10, resistencia a la compresión Clase CSIV (EN 998-1), reacción al fuego Clase A1, aplicado en espesor total de 10 a 30 mm en dos capas, previa imprimación adecuada según soporte (weberprim TP05, en caso de soportes muy absorbentes o sin dureza superficial; o weberprim FX15, en caso de soportes muy lisos o poco absorbentes como hormigón); armado en la mitad de su espesor en toda la superficie, con malla de fibra de vidrio antiálcalis </t>
    </r>
    <r>
      <rPr>
        <sz val="8"/>
        <color theme="1"/>
        <rFont val="Weber Name"/>
      </rPr>
      <t>webertherm MALLA 200</t>
    </r>
    <r>
      <rPr>
        <sz val="8"/>
        <color theme="1"/>
        <rFont val="Weber"/>
      </rPr>
      <t xml:space="preserve">, con apertura del entramado 7,0 x 6,5 mm, 195 g/m², espesor 0,65 mm y resistencia a la elongación 4,0 / 4,0, colocada sobre el mortero en fresco, y dejando secar, posteriormente, mínimo 1 día por cada cm de espesor. Tratamiento de doble refuerzo en encuentros entre soportes de diferente naturaleza (no incluido). </t>
    </r>
  </si>
  <si>
    <t>webercal BASIC</t>
  </si>
  <si>
    <t>webertherm CLIMA</t>
  </si>
  <si>
    <t>CERAMIC OPTIMA</t>
  </si>
  <si>
    <t>CERAMIC PLUS</t>
  </si>
  <si>
    <t>CAPA FINA</t>
  </si>
  <si>
    <r>
      <t xml:space="preserve">Posteriormente se realizará la capa de refuerzo sobre las placas aislantes con mortero monocomponente de altas prestaciones para regularización de superficies, </t>
    </r>
    <r>
      <rPr>
        <sz val="8"/>
        <color rgb="FF00B050"/>
        <rFont val="Weber Name"/>
      </rPr>
      <t>webertherm BASE PLUS</t>
    </r>
    <r>
      <rPr>
        <sz val="8"/>
        <color theme="1"/>
        <rFont val="Weber"/>
      </rPr>
      <t>, compuesto a base de cemento gris, cargas minerales, resinas redispersables en polvo, fibra de vidrio de alta dispersión, materia prima reciclada y aditivos especiales; y con las siguientes características técnicas: adherencia sobre ladrillo cerámico ≥ 0,3 MPa, absorción agua por capilaridad ≤ 0,2 kg/m² ·min</t>
    </r>
    <r>
      <rPr>
        <vertAlign val="superscript"/>
        <sz val="8"/>
        <color theme="1"/>
        <rFont val="Weber"/>
      </rPr>
      <t>0,5</t>
    </r>
    <r>
      <rPr>
        <sz val="8"/>
        <color theme="1"/>
        <rFont val="Weber"/>
      </rPr>
      <t xml:space="preserve"> (Clase W2), μ ≤ 15, resistencia a flexión ≥ 2 MPa, resistencia a compresión ≥ 3,5 MPa (CSIII), reacción al fuego Clase B-s1,d0 y conductividad térmica 0,20-0,25 W/m·K; aplicado en un espesor de 2-3 mm por mano. </t>
    </r>
  </si>
  <si>
    <r>
      <t xml:space="preserve">Posteriormente se realizará la capa de refuerzo sobre las placas aislantes con mortero monocomponente de altas prestaciones para regularización de superficies, </t>
    </r>
    <r>
      <rPr>
        <sz val="8"/>
        <color rgb="FF00B050"/>
        <rFont val="Weber Name"/>
      </rPr>
      <t>webertherm BASEGEL</t>
    </r>
    <r>
      <rPr>
        <sz val="8"/>
        <rFont val="Weber"/>
      </rPr>
      <t xml:space="preserve">, compuesto a base de cemento gris, cargas minerales, resinas redispersables en polvo, fibra de vidrio de alta dispersión y aditivos especiales; y con las siguientes características técnicas: adherencia sobre ladrillo cerámico ≥ 0,3 MPa, absorción agua por capilaridad ≤ 0,2 kg/m² ·min0,5 (Clase W2), μ ≤ 10, resistencia a flexión ≥ 2 MPa, resistencia a compresión ≥ 6,0 MPa (CSIV), reacción al fuego Euroclase A1 y conductividad térmica 0,44 W/m·K; aplicado en un espesor de 2-3 mm por mano. </t>
    </r>
  </si>
  <si>
    <r>
      <t xml:space="preserve">Suministro y aplicación de mortero monocomponente de altas prestaciones para regularización de superficies, </t>
    </r>
    <r>
      <rPr>
        <sz val="8"/>
        <color rgb="FF00B050"/>
        <rFont val="Weber Name"/>
      </rPr>
      <t>webertherm BASEGEL</t>
    </r>
    <r>
      <rPr>
        <sz val="8"/>
        <color theme="1"/>
        <rFont val="Weber"/>
      </rPr>
      <t>, compuesto a base de cemento gris, cargas minerales, resinas redispersables en polvo, fibra de vidrio de alta dispersión y aditivos especiales; y con las siguientes características técnicas: adherencia sobre ladrillo cerámico ≥ 0,3 MPa, absorción agua por capilaridad ≤ 0,2 kg/m² ·min</t>
    </r>
    <r>
      <rPr>
        <vertAlign val="superscript"/>
        <sz val="8"/>
        <color theme="1"/>
        <rFont val="Weber"/>
      </rPr>
      <t>0,5</t>
    </r>
    <r>
      <rPr>
        <sz val="8"/>
        <color theme="1"/>
        <rFont val="Weber"/>
      </rPr>
      <t xml:space="preserve"> (Clase W2), μ ≤ 10, resistencia a flexión ≥ 2 MPa, resistencia a compresión ≥ 6,0 MPa (CSIV), reacción al fuego Euroclase A1 y conductividad térmica 0,44 W/m·K; aplicado en un espesor de 2-3 mm por mano, </t>
    </r>
  </si>
  <si>
    <t>webercal FLEXIBLE</t>
  </si>
  <si>
    <t>webertene CLASSIC</t>
  </si>
  <si>
    <t>weberplast DECOR M</t>
  </si>
  <si>
    <t>weberplast DECOR PLUS</t>
  </si>
  <si>
    <t>webertene HABITAT</t>
  </si>
  <si>
    <t>webertene ADVANCE</t>
  </si>
  <si>
    <t>webertene MICRO</t>
  </si>
  <si>
    <t>webertene EXTRACLEAN ACTIVE</t>
  </si>
  <si>
    <r>
      <t xml:space="preserve">Realización del revestimiento imitación ladrillo caravista mediante: [pintura]. Colocación de la plantilla autoadhesiva de lámina de cartón hidrorepelente, </t>
    </r>
    <r>
      <rPr>
        <sz val="8"/>
        <color rgb="FF00B050"/>
        <rFont val="Weber Name"/>
      </rPr>
      <t>webertherm MOLDE CARAVISTA 24x5 CM</t>
    </r>
    <r>
      <rPr>
        <sz val="8"/>
        <color theme="1"/>
        <rFont val="Weber"/>
      </rPr>
      <t xml:space="preserve">, de espesor 1 mm, para la realización de acabado imitación ladrillo caravista de 24 x 5 cm y junta de 10 mm. </t>
    </r>
  </si>
  <si>
    <r>
      <t xml:space="preserve">Finalmente, previa aplicación de una mano de resina de unión consolidante weberprim TP05  diluida 1:10, aplicación del revestimiento mineral impermeable y decorativo </t>
    </r>
    <r>
      <rPr>
        <sz val="8"/>
        <color rgb="FF00B050"/>
        <rFont val="Weber Name"/>
      </rPr>
      <t>webertherm CLIMA</t>
    </r>
    <r>
      <rPr>
        <sz val="8"/>
        <color theme="1"/>
        <rFont val="Weber"/>
      </rPr>
      <t>, compuesto a base de cal, cemento blanco, fibras de vidrio de alta dispersión, áridos de granulometría compensada, aditivos orgánicos, pigmentos minerales y resinas hidrofugadas redispersables, y con las siguientes características técnicas: resistencia a compresión ≥ 3,5 MPa (CSIII), resistencia a la flexión ≥ 1 MPa, permebilidad al vapor de agua μ≤10, coeficiente absorción de agua por capilaridad W2 y conductividad térmica 0,47 W/m·K, aplicado en un espesor total de 12 mm en acabado raspado y color a definir por la dirección facultativa.</t>
    </r>
  </si>
  <si>
    <r>
      <t xml:space="preserve">Suministro y colocación de mortero adhesivo de fraguado rápido </t>
    </r>
    <r>
      <rPr>
        <sz val="8"/>
        <color rgb="FF00B050"/>
        <rFont val="Weber Name"/>
      </rPr>
      <t>webercol FLEX³ SUPERAPID,</t>
    </r>
    <r>
      <rPr>
        <sz val="8"/>
        <color theme="1"/>
        <rFont val="Weber"/>
      </rPr>
      <t xml:space="preserve"> mortero cola de ligantes mixtos de altas prestaciones y las siguientes características técnicas: clasificación C2TEFS2 según norma EN 12004, deformabilidad ≥ 5 mm y reacción al fuego Euroclase A2-s1,d0; aplicado mediante técnica del doble encolado con llana dentada de 8 x 8 mm, para la adhesión de las piezas cerámicas de formato grande &lt; 2400 cm² en cerámica tradicional y peso &lt; 25 kg/m²; y rejuntado con </t>
    </r>
    <r>
      <rPr>
        <sz val="8"/>
        <color rgb="FF00B050"/>
        <rFont val="Weber Name"/>
      </rPr>
      <t>webercolor PREMIUM</t>
    </r>
    <r>
      <rPr>
        <sz val="8"/>
        <color theme="1"/>
        <rFont val="Weber"/>
      </rPr>
      <t>, mortero de rejuntado de altas resistencias para juntas de hasta 15 mm, y las siguientes características técnicas: clasificación CG2WA según norma EN 13888, retracción ≤ 3 mm/m, resistencia a la flexotracción en seco ≥ 2,5 MPa, resistencia a la flexotracción tras ciclos ≥ 2,5 MPa, resistencia a la compresión en seco ≥ 15,0 MPa, resistencia a la compresión tras ciclos ≥ 15,0 MPa, absorción de agua después de 30 min ≤ 2 g, absorción de agua después de 240 min ≤ 5 g</t>
    </r>
  </si>
  <si>
    <r>
      <t xml:space="preserve">Suministro y colocación de mortero adhesivo de fraguado rápido </t>
    </r>
    <r>
      <rPr>
        <sz val="8"/>
        <color rgb="FF00B050"/>
        <rFont val="Weber Name"/>
      </rPr>
      <t>webercol FLEX² MULTIRAPID,</t>
    </r>
    <r>
      <rPr>
        <sz val="8"/>
        <color theme="1"/>
        <rFont val="Weber"/>
      </rPr>
      <t xml:space="preserve"> mortero cola de ligantes mixtos de altas prestaciones y las siguientes características técnicas: clasificación C2TEFS1 según norma EN 12004, deformabilidad 2,5-5,0 mm y reacción al fuego Euroclase A1; aplicado mediante técnica del doble encolado con llana dentada de 8 x 8 mm, para la adhesión de las piezas cerámicas de formato pequeño &lt; 900 cm² en cerámica tradicional y peso ≤ 20 kg/m²; y rejuntado con </t>
    </r>
    <r>
      <rPr>
        <sz val="8"/>
        <color rgb="FF00B050"/>
        <rFont val="Weber Name"/>
      </rPr>
      <t>webercolor PREMIUM,</t>
    </r>
    <r>
      <rPr>
        <sz val="8"/>
        <color theme="1"/>
        <rFont val="Weber"/>
      </rPr>
      <t xml:space="preserve"> mortero de rejuntado de altas resistencias para juntas de hasta 15 mm, y las siguientes características técnicas: clasificación CG2WA según norma EN 13888, retracción ≤ 3 mm/m, resistencia a la flexotracción en seco ≥ 2,5 MPa, resistencia a la flexotracción tras ciclos ≥ 2,5 MPa, resistencia a la compresión en seco ≥ 15,0 MPa, resistencia a la compresión tras ciclos ≥ 15,0 MPa, absorción de agua después de 30 min ≤ 2 g, absorción de agua después de 240 min ≤ 5 g</t>
    </r>
  </si>
  <si>
    <r>
      <t xml:space="preserve">Finalmente, se aplicará el revestimiento de acabado con efecto fotocatalítico </t>
    </r>
    <r>
      <rPr>
        <sz val="8"/>
        <color rgb="FF00B050"/>
        <rFont val="Weber Name"/>
      </rPr>
      <t>webertene EXTRECLEAN ACTIVE</t>
    </r>
    <r>
      <rPr>
        <sz val="8"/>
        <color theme="1"/>
        <rFont val="Weber"/>
      </rPr>
      <t xml:space="preserve"> (granulometría máx. 1 mm) compuesto de resinas en base silicato en dispersión acuosa, cargas minerales, pigmentos estables a UV y aditivos especiales y con las siguientes características técnicas: conductividad térmica 0,8 W/m·K, absorción agua por capilaridad W2, permeabilidad al vapor μ≤30 (V1 SD=0,05) y reacción al fuego Euroclase A2, aplicado a gota con pistola o fratasado con llana en un espesor de 2 mm, siguiendo las indicaciones de la ficha técnica (textura y color a definir por la D.F.)</t>
    </r>
  </si>
  <si>
    <r>
      <t xml:space="preserve">Finalmente, se aplicará el revestimiento de acabado </t>
    </r>
    <r>
      <rPr>
        <sz val="8"/>
        <color rgb="FF00B050"/>
        <rFont val="Weber Name"/>
      </rPr>
      <t>webertene PREMIUM M</t>
    </r>
    <r>
      <rPr>
        <sz val="8"/>
        <color theme="1"/>
        <rFont val="Weber"/>
      </rPr>
      <t xml:space="preserve"> (granulometría máx. 1,2 mm) compuesto de resinas en base silicato de potasio, cargas minerales, pigmentos estables a UV, fungicidas y aditivos especiales y con las siguientes características técnicas: conductividad térmica 0,9 W/m·K, absorción agua por capilaridad W3, permeabilidad al vapor μ≤30 (V1 SD=0,05) y reacción al fuego Euroclase A2, aplicado a gota con pistola o fratasado con llana en un espesor máximo de 1,5 mm, siguiendo las indicaciones de la ficha técnica (textura y color a definir por la D.F.)</t>
    </r>
  </si>
  <si>
    <r>
      <t xml:space="preserve">Finalmente, se aplicará el revestimiento de acabado </t>
    </r>
    <r>
      <rPr>
        <sz val="8"/>
        <color rgb="FF00B050"/>
        <rFont val="Weber Name"/>
      </rPr>
      <t>webertene MICRO</t>
    </r>
    <r>
      <rPr>
        <sz val="8"/>
        <color theme="1"/>
        <rFont val="Weber"/>
      </rPr>
      <t xml:space="preserve"> de granulometría máxima 0,5 mm), compuesto de resinas en base siloxano, silicatos, cargas minerales, pigmentos estables a UV, fungicidas y aditivos especiales, aplicado a gota con pistola o fratasado con llana siguiendo las indicaciones en la ficha técnica (textura y color a definir por la D.F.)</t>
    </r>
  </si>
  <si>
    <r>
      <t xml:space="preserve">Finalmente, se aplicará el revestimiento de acabado </t>
    </r>
    <r>
      <rPr>
        <sz val="8"/>
        <color rgb="FF00B050"/>
        <rFont val="Weber Name"/>
      </rPr>
      <t>webertene ADVANCE</t>
    </r>
    <r>
      <rPr>
        <sz val="8"/>
        <color theme="1"/>
        <rFont val="Weber"/>
      </rPr>
      <t xml:space="preserve"> (disponible en granulometrías: M= máx. 1,2 mm, S= máx. 0,8 mm y XS= máx. 0,5 mm), compuesto de resinas en base siloxano, cargas minerales, pigmentos estables a UV, fungicidas y aditivos especiales y con las siguientes características técnicas: conductividad térmica 1,1 W/m·K, absorción agua por capilaridad W2, permeabilidad al vapor μ≤70 (V1 SD=0,11) y reacción al fuego Euroclase A2, aplicado a gota con pistola o fratasado con llana siguiendo las indicaciones en la ficha técnica (granulometría, textura y color a definir por la D.F.)</t>
    </r>
  </si>
  <si>
    <r>
      <t>Finalmente, se aplicará el revestimiento de acabado</t>
    </r>
    <r>
      <rPr>
        <sz val="8"/>
        <color rgb="FF00B050"/>
        <rFont val="Weber Name"/>
      </rPr>
      <t xml:space="preserve"> webertene HABITAT</t>
    </r>
    <r>
      <rPr>
        <sz val="8"/>
        <color theme="1"/>
        <rFont val="Weber"/>
      </rPr>
      <t xml:space="preserve"> (granulometría máx. 1,5 mm), compuesto a base de resinas en base siloxanos, cargas minerales, pigmentos orgánicos, fungicidas y aditivos especiales y con las siguientes características técnicas: absorción agua por capilaridad W2, permeabilidad al vapor de agua V2 y reacción al fuego Euroclase A2-s1,d0, aplicado a gota con pistola o fratasado con llana según indicaciones de la ficha técnica (textura y color a definir por la D.F.)</t>
    </r>
  </si>
  <si>
    <r>
      <t>Finalmente, se aplicará el revestimiento de acabado</t>
    </r>
    <r>
      <rPr>
        <sz val="8"/>
        <color rgb="FF00B050"/>
        <rFont val="Weber Name"/>
      </rPr>
      <t xml:space="preserve"> weberplast DECOR PLUS</t>
    </r>
    <r>
      <rPr>
        <sz val="8"/>
        <color theme="1"/>
        <rFont val="Weber"/>
      </rPr>
      <t xml:space="preserve"> (granulometría máx. 1 mm), compuesto a base de resinas en base siloxano, cargas minerales, pigmentos estables a UV, fungicidas y aditivos especiales y con las siguientes características técnicas: conductividad térmica 0,82 W/m·K, absorción agua por capilaridad W3, permeabilidad al vapor de agua V2 y reacción al fuego Euroclase A2-s1,d0, aplicado a gota con pistola o fratasado con llana según indicaciones de la ficha técnica (textura y color a definir por la D.F.)</t>
    </r>
  </si>
  <si>
    <r>
      <t>Finalmente, se aplicará el revestimiento de acabado</t>
    </r>
    <r>
      <rPr>
        <sz val="8"/>
        <color rgb="FF00B050"/>
        <rFont val="Weber Name"/>
      </rPr>
      <t xml:space="preserve"> weberplast DECOR M</t>
    </r>
    <r>
      <rPr>
        <sz val="8"/>
        <color theme="1"/>
        <rFont val="Weber"/>
      </rPr>
      <t xml:space="preserve"> (granulometría máx. 1,5 mm), compuesto a base de resinas acrílicas, cargas minerales, pigmentos y aditivos especiales y con las siguientes características técnicas: conductividad térmica 0,82 W/m·K, absorción agua por capilaridad W3, permeabilidad al vapor de agua V2 y reacción al fuego Euroclase A2-s1,d0, aplicado a gota con pistola o fratasado con llana según indicaciones de la ficha técnica (textura y color a definir por la D.F.)</t>
    </r>
  </si>
  <si>
    <r>
      <t xml:space="preserve">Finalmente, se aplicará, manualmente, el mortero de estuco fino deformable de altas prestaciones, </t>
    </r>
    <r>
      <rPr>
        <sz val="8"/>
        <color rgb="FF00B050"/>
        <rFont val="Weber Name"/>
      </rPr>
      <t>webercal FLEXIBLE</t>
    </r>
    <r>
      <rPr>
        <sz val="8"/>
        <color theme="1"/>
        <rFont val="Weber"/>
      </rPr>
      <t>, compuesto a base de cal aérea, resinas orgánicas, aditivos orgánicos e inorgánicos, cargas y pigmentos minerales y con las siguientes características técnicas: conductividad térmica 0,54 W/m·K (P=50%), absorción agua por capilaridad ≤ 0,2 kg/m² ·min</t>
    </r>
    <r>
      <rPr>
        <vertAlign val="superscript"/>
        <sz val="8"/>
        <color theme="1"/>
        <rFont val="Weber"/>
      </rPr>
      <t>0,5</t>
    </r>
    <r>
      <rPr>
        <sz val="8"/>
        <color theme="1"/>
        <rFont val="Weber"/>
      </rPr>
      <t xml:space="preserve"> (Clase W2), permeabilidad al vapor V2 y reacción al fuego B-s1,d0, aplicado en un mínimo de 3 capas con un espesor total de entre 1,0 y 1,5 mm, en color a definir por la dirección facultativa, embebiendo, en su totalidad, </t>
    </r>
    <r>
      <rPr>
        <sz val="8"/>
        <color rgb="FF00B050"/>
        <rFont val="Weber Name"/>
      </rPr>
      <t>webertherm MALLA 65</t>
    </r>
    <r>
      <rPr>
        <sz val="8"/>
        <color theme="1"/>
        <rFont val="Weber"/>
      </rPr>
      <t>, de peso 58 g/m², apertura de entramado 1,0 x 1,5 mm y tratamiento alcalino-resistente), con el paso de una llana de acero inoxidable y superponiendo 2 cm los diferentes tramos de malla. Las sucesivas capas se aplicarán una vez haya endurecido la primera y se terminará con llana de acero inoxidable hasta conseguir un acabado liso</t>
    </r>
  </si>
  <si>
    <r>
      <t>Posteriormente, se aplicará el revestimiento de acabado de estuco de cal,</t>
    </r>
    <r>
      <rPr>
        <sz val="8"/>
        <color rgb="FF00B050"/>
        <rFont val="Weber"/>
      </rPr>
      <t xml:space="preserve"> </t>
    </r>
    <r>
      <rPr>
        <sz val="8"/>
        <color rgb="FF00B050"/>
        <rFont val="Weber Name"/>
      </rPr>
      <t>webercal ESTUCO,</t>
    </r>
    <r>
      <rPr>
        <sz val="8"/>
        <rFont val="Weber"/>
      </rPr>
      <t xml:space="preserve"> compuesto a base de cal aérea, resinas redispersables, aditivos orgánicos e inorgánicos, cargas y pigmentos minerales y las siguientes características técnicas: conductividad térmica 0,54 W/m·K (P=50%), absorción agua por capilaridad W0, permeabilidad al vapor μ≤25 y reacción al fuego Euroclase A1, </t>
    </r>
    <r>
      <rPr>
        <sz val="8"/>
        <color theme="1"/>
        <rFont val="Weber"/>
      </rPr>
      <t>aplicado en dos manos en un espesor de 1 a 2 mm por mano, en color a definir por la dirección facultativa, embebiendo, en su totalidad, una malla de refuerzo,</t>
    </r>
    <r>
      <rPr>
        <sz val="8"/>
        <color theme="1"/>
        <rFont val="Weber Name"/>
      </rPr>
      <t xml:space="preserve"> </t>
    </r>
    <r>
      <rPr>
        <sz val="8"/>
        <color rgb="FF00B050"/>
        <rFont val="Weber Name"/>
      </rPr>
      <t>webertherm MALLA 65</t>
    </r>
    <r>
      <rPr>
        <sz val="8"/>
        <rFont val="Weber"/>
      </rPr>
      <t xml:space="preserve">, de peso 58 g/m², apertura de entramado 1,0 x 1,5 mm y tratamiento alcalino-resistente), con el paso de una llana de acero inoxidable y superponiendo 2 cm los diferentes tramos de malla. </t>
    </r>
    <r>
      <rPr>
        <sz val="8"/>
        <color theme="1"/>
        <rFont val="Weber"/>
      </rPr>
      <t xml:space="preserve">La segunda capa se aplicará una vez haya endurecido la primera y se terminará con llana de acero inoxidable hasta conseguir un acabado liso. Finalmente, se aplicará una mano de hidrofugante superficial </t>
    </r>
    <r>
      <rPr>
        <sz val="8"/>
        <color rgb="FF00B050"/>
        <rFont val="Weber Name"/>
      </rPr>
      <t>weberneto S400</t>
    </r>
  </si>
  <si>
    <r>
      <t xml:space="preserve">Finalmente, se aplicará, manualmente, el mortero de estuco fino deformable de altas prestaciones, </t>
    </r>
    <r>
      <rPr>
        <sz val="8"/>
        <color rgb="FF00B050"/>
        <rFont val="Weber Name"/>
      </rPr>
      <t>webercal FLEXIBLE</t>
    </r>
    <r>
      <rPr>
        <sz val="8"/>
        <color theme="1"/>
        <rFont val="Weber"/>
      </rPr>
      <t>, compuesto a base de cal aérea, resinas orgánicas, aditivos orgánicos e inorgánicos, cargas y pigmentos minerales y con las siguientes características técnicas: conductividad térmica 0,54 W/m·K (P=50%), absorción agua por capilaridad ≤ 0,2 kg/m² ·min</t>
    </r>
    <r>
      <rPr>
        <vertAlign val="superscript"/>
        <sz val="8"/>
        <color theme="1"/>
        <rFont val="Weber"/>
      </rPr>
      <t>0,5</t>
    </r>
    <r>
      <rPr>
        <sz val="8"/>
        <color theme="1"/>
        <rFont val="Weber"/>
      </rPr>
      <t xml:space="preserve"> (Clase W2), permeabilidad al vapor V2 y reacción al fuego B-s1,d0, aplicado en un espesor total de entre 1,0 y 1,5 mm, en color a definir por la dirección facultativa y se terminará con llana de acero inoxidable hasta conseguir un acabado liso</t>
    </r>
  </si>
  <si>
    <t>Posteriormente, se aplicará el revestimiento de acabado de estuco de cal, webercal ESTUCO, compuesto a base de cal aérea, resinas redispersables, aditivos orgánicos e inorgánicos, cargas y pigmentos minerales y las siguientes características técnicas: conductividad térmica 0,54 W/m·K (P=50%), absorción agua por capilaridad W0, permeabilidad al vapor μ≤25 y reacción al fuego Euroclase A1, aplicado en dos manos en un espesor de 1 a 2 mm por mano, en color a definir por la dirección facultativa. La segunda capa se aplicará una vez haya endurecido la primera y se terminará con llana de acero inoxidable hasta conseguir un acabado liso. Finalmente, se aplicará una mano de hidrofugante superficial weberneto S400</t>
  </si>
  <si>
    <r>
      <t xml:space="preserve">Posteriormente, se aplicará el revestimiento de acabado fino, </t>
    </r>
    <r>
      <rPr>
        <sz val="8"/>
        <rFont val="Weber Name"/>
      </rPr>
      <t>webermur LISO</t>
    </r>
    <r>
      <rPr>
        <sz val="8"/>
        <rFont val="Weber"/>
      </rPr>
      <t>, compuesto a base de ligantes hidráulicos, resinas poliméricas, áridos de sílice, carbonatos extra finos y aditivos orgánicos e inorgánicos; y las siguientes características técnicas: absorción agua por capilaridad W2, resistencia a la compresión clase CSIII y reacción al fuego Euroclase A1, aplicado en un espesor de 3 a 5 mm con una llana de acero inoxidable, en color a definir por la dirección facultativa (blanco o gris). Pasadas entre 5 y 6 horas, aproximadamente, realización del fratasado mediante fratás de esponja fina y alisado de la superficie immediatamente posterior</t>
    </r>
  </si>
  <si>
    <r>
      <t xml:space="preserve">, con aplicación previa de la imprimación de fondeo universal </t>
    </r>
    <r>
      <rPr>
        <sz val="8"/>
        <color theme="1"/>
        <rFont val="Weber Name"/>
      </rPr>
      <t>weber CS PLUS</t>
    </r>
    <r>
      <rPr>
        <sz val="8"/>
        <color theme="1"/>
        <rFont val="Weber"/>
      </rPr>
      <t>, compuesto de resinas en dipersión acuosa, fungicidas, pigmentos orgánicos y aditivos especiales</t>
    </r>
  </si>
  <si>
    <r>
      <t xml:space="preserve">, con aplicación previa de la imprimación promotora de silicatización </t>
    </r>
    <r>
      <rPr>
        <sz val="8"/>
        <color theme="1"/>
        <rFont val="Weber Name"/>
      </rPr>
      <t>weberprim SILICATO</t>
    </r>
    <r>
      <rPr>
        <sz val="8"/>
        <color theme="1"/>
        <rFont val="Weber"/>
      </rPr>
      <t>, compuesta de silicato de potasio, modificadores reológicos y aditivos especiales</t>
    </r>
  </si>
  <si>
    <r>
      <t xml:space="preserve">Posteriormente, se aplicará el revestimiento de acabado de pintura al siloxano, </t>
    </r>
    <r>
      <rPr>
        <sz val="8"/>
        <color rgb="FF00B050"/>
        <rFont val="Weber Name"/>
      </rPr>
      <t xml:space="preserve">webertene ADVANCE PLUS </t>
    </r>
    <r>
      <rPr>
        <sz val="8"/>
        <color theme="1"/>
        <rFont val="Weber"/>
      </rPr>
      <t>(color a definir por la D.F.), compuesto de resinas en base siloxano, cargas minerales, pigmentos estables a UV, fungicidas y aditivos especiales, y con las siguientes características técnicas: conductividad térmica 1,1 W/m·K, absorción agua por capilaridad W3 y permeabilidad al vapor μ≤300 (V1 SD=0,04), diluido en un 15-25% de agua limpia (medido en peso) y aplicado a rodillo, brocha o airless en 2 capas con un tiempo de espera entre capas de al menos 6 horas</t>
    </r>
  </si>
  <si>
    <r>
      <t xml:space="preserve">Posteriormente, se aplicará el revestimiento de acabado de pintura al silicato </t>
    </r>
    <r>
      <rPr>
        <sz val="8"/>
        <color rgb="FF00B050"/>
        <rFont val="Weber Name"/>
      </rPr>
      <t xml:space="preserve">webertene PREMIUM PLUS  </t>
    </r>
    <r>
      <rPr>
        <sz val="8"/>
        <color theme="1"/>
        <rFont val="Weber"/>
      </rPr>
      <t>(color a definir por la D.F.), compuesto de resinas en base silicato de potasio, cargas minerales, pigmentos estables a UV y aditivos especiales, y con las siguientes características técnicas: permeabilidad al vapor μ≤90 (VSD=0,02), aplicado a rodillo o airless en 2 capas con un tiempo de espera entre capas de al menos 6 horas</t>
    </r>
  </si>
  <si>
    <r>
      <t xml:space="preserve">Finalmente, se aplicará el revestimiento de acabado de pintura al siloxano </t>
    </r>
    <r>
      <rPr>
        <sz val="8"/>
        <color rgb="FF00B050"/>
        <rFont val="Weber Name"/>
      </rPr>
      <t xml:space="preserve">weberplast SILCOLOR </t>
    </r>
    <r>
      <rPr>
        <sz val="8"/>
        <color theme="1"/>
        <rFont val="Weber"/>
      </rPr>
      <t>(color a definir por la D.F.), compuesta de resinas en base polisiloxanos, cargas minerales, pigmentos estables a UV y aditivos especiales, y con las siguientes características técnicas: absorción agua por capilaridad W3 y permeabilidad al vapor μ≤300 (V1 SD=0,04), diluido en un 10% de agua limpia (medido en peso) y aplicada a rodillo, brocha o airless en 2 capas con un tiempo de espera entre capas de al menos 3-4 horas</t>
    </r>
  </si>
  <si>
    <r>
      <t xml:space="preserve">aplicación a modo de imprimación, de pintura al siloxano </t>
    </r>
    <r>
      <rPr>
        <sz val="8"/>
        <color rgb="FF00B050"/>
        <rFont val="Weber Name"/>
      </rPr>
      <t xml:space="preserve">webertene ADVANCE PLUS </t>
    </r>
    <r>
      <rPr>
        <sz val="8"/>
        <color theme="1"/>
        <rFont val="Weber"/>
      </rPr>
      <t>(color a definir por la D.F.), compuesta de resinas en base siloxano, cargas minerales, pigmentos estables a UV, fungicidas y aditivos especiales, y con las siguientes características técnicas: conductividad térmica 1,1 W/m·K, absorción agua por capilaridad W3 y permeabilidad al vapor μ≤300 (V1 SD=0,04), diluido en un 15-25% de agua limpia (medido en peso) y aplicada a rodillo, brocha o airless en 2 capas con un tiempo de espera entre capas de al menos 6 horas</t>
    </r>
  </si>
  <si>
    <r>
      <t xml:space="preserve">aplicación a modo de imprimación, de pintura al siloxano </t>
    </r>
    <r>
      <rPr>
        <sz val="8"/>
        <color rgb="FF00B050"/>
        <rFont val="Weber Name"/>
      </rPr>
      <t xml:space="preserve">weberplast SILCOLOR </t>
    </r>
    <r>
      <rPr>
        <sz val="8"/>
        <color theme="1"/>
        <rFont val="Weber"/>
      </rPr>
      <t>(color a definir por la D.F.), compuesta de resinas en base polisiloxanos, cargas minerales, pigmentos estables a UV y aditivos especiales, y con las siguientes características técnicas: absorción agua por capilaridad W3 y permeabilidad al vapor μ≤300 (V1 SD=0,04), diluido en un 10% de agua limpia (medido en peso) y aplicada a rodillo, brocha o airless en 2 capas con un tiempo de espera entre capas de al menos 3-4 horas</t>
    </r>
  </si>
  <si>
    <r>
      <t xml:space="preserve">Finalmente, se aplicará, manualmente, el mortero mineral de cal coloreado en capa fina, </t>
    </r>
    <r>
      <rPr>
        <sz val="8"/>
        <color rgb="FF00B050"/>
        <rFont val="Weber Name"/>
      </rPr>
      <t>webercal LISO</t>
    </r>
    <r>
      <rPr>
        <sz val="8"/>
        <color theme="1"/>
        <rFont val="Weber"/>
      </rPr>
      <t>, con las siguientes características técnicas: adherencia sobre el mortero de enfoscado ≥ 0,3 MPa, permebilidad al vapor de agua μ≤20, coeficiente absorción agua por capilaridad ≤ 0,2 kg/m² ·min</t>
    </r>
    <r>
      <rPr>
        <vertAlign val="superscript"/>
        <sz val="8"/>
        <color theme="1"/>
        <rFont val="Weber"/>
      </rPr>
      <t>0,5</t>
    </r>
    <r>
      <rPr>
        <sz val="8"/>
        <color theme="1"/>
        <rFont val="Weber"/>
      </rPr>
      <t xml:space="preserve"> (Clase W2), resistencia a la compresión CSIII (EN 998-1), reacción al fuego Clase A1, aplicado en un espesor total de entre 3 y 5 mm, en color a definir por la dirección facultativa y una vez iniciado el endurecimiento se fratasará y se terminará con llana de plástico, de acero inoxidable o de madera hasta conseguir un acabado fino y suave.</t>
    </r>
  </si>
  <si>
    <r>
      <t xml:space="preserve">Finalmente, se aplicará, manualmente, el mortero mineral de cal coloreado e hidrofugado para revocos, </t>
    </r>
    <r>
      <rPr>
        <sz val="8"/>
        <color rgb="FF00B050"/>
        <rFont val="Weber Name"/>
      </rPr>
      <t>webercal REVOCO</t>
    </r>
    <r>
      <rPr>
        <sz val="8"/>
        <color theme="1"/>
        <rFont val="Weber"/>
      </rPr>
      <t>, compuesto a base de cal aérea, conglomerantes hidráulicos, aditivos orgánicos e inorgánicos, áridos de granulometría compensada y pigmentos minerales; con las siguientes características técnicas: adherencia sobre ladrillo ≥ 0,2 MPa, permebilidad al vapor de agua μ≤10, coeficiente absorción de agua por capilaridad W2 (EN 998-1),  resistencia a la compresión CSII (EN 998-1), reacción al fuego Clase A1, aplicado en un espesor total de entre 10 y 15 mm en dos capas, en color y acabado (fratasado, raspado, martillina, grabado, esgrafiado, sillería,...) a definir por la dirección facultativa.</t>
    </r>
  </si>
  <si>
    <t>weberplast SILCOLOR</t>
  </si>
  <si>
    <t>webertene PREMIUM PLUS</t>
  </si>
  <si>
    <t>webertene ADVANCE PLUS</t>
  </si>
  <si>
    <t>webertene PRIMER</t>
  </si>
  <si>
    <t>weber CS PLUS</t>
  </si>
  <si>
    <t>webermur LISO</t>
  </si>
  <si>
    <t>weberdry IMPER F</t>
  </si>
  <si>
    <t>webertherm PERFIL DE ARRANQUE</t>
  </si>
  <si>
    <r>
      <t xml:space="preserve">suministro y aplicación de impermeabilizante cementoso por cristalización </t>
    </r>
    <r>
      <rPr>
        <sz val="8"/>
        <color theme="1"/>
        <rFont val="Weber Name"/>
      </rPr>
      <t>weberdry IMPER F</t>
    </r>
    <r>
      <rPr>
        <sz val="8"/>
        <color theme="1"/>
        <rFont val="Weber"/>
      </rPr>
      <t xml:space="preserve">, certificado bajo norma EN-1504-2, y con las siguientes características técnicas: adherencia sobre hormigón ≥ 1,5 MPa, resistencia al agua a presión ≥ 1,5 bar, resistencia al agua a contrapresión ≥ 1 bar, permeabilidad al vapor de agua Clase I: SD≤5 m, permeabilidad al CO2 SD≥50 m y reacción al fuego Euroclase A1 / A1fl; en un espesor de aplicación mínimo de 2 mm (1-2 mm por capa), cubriendo, en forma de "L", el encuentro de la fachada con el suelo exterior, hasta la altura prevista de colocación del perfil de arranque; refuerzo y sellado de esquina con masilla de poliuretano </t>
    </r>
    <r>
      <rPr>
        <sz val="8"/>
        <color theme="1"/>
        <rFont val="Weber Name"/>
      </rPr>
      <t>weberflex P100</t>
    </r>
    <r>
      <rPr>
        <sz val="8"/>
        <color theme="1"/>
        <rFont val="Weber"/>
      </rPr>
      <t xml:space="preserve"> o mediante media caña con mortero reparador </t>
    </r>
    <r>
      <rPr>
        <sz val="8"/>
        <color theme="1"/>
        <rFont val="Weber Name"/>
      </rPr>
      <t>weberep HORMIPLUS</t>
    </r>
    <r>
      <rPr>
        <sz val="8"/>
        <color theme="1"/>
        <rFont val="Weber "/>
      </rPr>
      <t xml:space="preserve"> </t>
    </r>
    <r>
      <rPr>
        <sz val="8"/>
        <color theme="1"/>
        <rFont val="Weber"/>
      </rPr>
      <t xml:space="preserve">o similar (no incl.); </t>
    </r>
  </si>
  <si>
    <r>
      <t xml:space="preserve">suministro y aplicación de impermeabilizante cementoso flexible bicomponente </t>
    </r>
    <r>
      <rPr>
        <sz val="8"/>
        <color theme="1"/>
        <rFont val="Weber Name"/>
      </rPr>
      <t>weberdry IMPERFLEX 2C</t>
    </r>
    <r>
      <rPr>
        <sz val="8"/>
        <color theme="1"/>
        <rFont val="Weber"/>
      </rPr>
      <t xml:space="preserve">, certificado bajo norma EN-1504-2 y UNE EN 14891, y con las siguientes características técnicas: adherencia sobre hormigón ≥ 1 MPa, resistencia al agua a presión ≥ 2 bar, resistencia al agua a contrapresión ≥ 1,5 bar, resistencia a la propagación de fisuras ≥ 0,75 mm; en un espesor máximo por capa de 2 mm, cubriendo, en forma de "L", el encuentro de la fachada con el suelo exterior, hasta la altura prevista de colocación del perfil de arranque; refuerzo de esquina con banda elástica impermeabilizante </t>
    </r>
    <r>
      <rPr>
        <sz val="8"/>
        <color theme="1"/>
        <rFont val="Weber Name"/>
      </rPr>
      <t>weber IMPERBANDA;</t>
    </r>
    <r>
      <rPr>
        <sz val="8"/>
        <color theme="1"/>
        <rFont val="Weber"/>
      </rPr>
      <t xml:space="preserve"> </t>
    </r>
  </si>
  <si>
    <r>
      <t xml:space="preserve">suministro y aplicación de impermeabilizante cementoso flexible bicomponente </t>
    </r>
    <r>
      <rPr>
        <sz val="8"/>
        <color theme="1"/>
        <rFont val="Weber Name"/>
      </rPr>
      <t>weberdry IMPERFLEX 2C</t>
    </r>
    <r>
      <rPr>
        <sz val="8"/>
        <color theme="1"/>
        <rFont val="Weber"/>
      </rPr>
      <t xml:space="preserve">, certificado bajo norma EN-1504-2 y UNE EN 14891, y con las siguientes características técnicas: adherencia sobre hormigón ≥ 1 MPa, resistencia al agua a presión ≥ 2 bar, resistencia al agua a contrapresión ≥ 1,5 bar, resistencia a la propagación de fisuras ≥ 0,75 mm; en un espesor máximo por capa de 2 mm, cubriendo, en forma de "L", el encuentro de la fachada con el suelo exterior, hasta una altura ≥ 15 cm; refuerzo y sellado de esquina con banda elástica impermeabilizante </t>
    </r>
    <r>
      <rPr>
        <sz val="8"/>
        <color theme="1"/>
        <rFont val="Weber Name"/>
      </rPr>
      <t>weber IMPERBANDA;</t>
    </r>
    <r>
      <rPr>
        <sz val="8"/>
        <color theme="1"/>
        <rFont val="Weber"/>
      </rPr>
      <t xml:space="preserve"> </t>
    </r>
  </si>
  <si>
    <r>
      <t xml:space="preserve">suministro y aplicación de impermeabilizante cementoso por cristalización </t>
    </r>
    <r>
      <rPr>
        <sz val="8"/>
        <color theme="1"/>
        <rFont val="Weber Name"/>
      </rPr>
      <t>weberdry IMPER F</t>
    </r>
    <r>
      <rPr>
        <sz val="8"/>
        <color theme="1"/>
        <rFont val="Weber"/>
      </rPr>
      <t xml:space="preserve">, certificado bajo norma EN-1504-2, y con las siguientes características técnicas: adherencia sobre hormigón ≥ 1,5 MPa, resistencia al agua a presión ≥ 1,5 bar, resistencia al agua a contrapresión ≥ 1 bar, permeabilidad al vapor de agua Clase I: SD≤5 m, permeabilidad al CO2 SD≥50 m y reacción al fuego Euroclase A1 / A1fl; en un espesor de aplicación mínimo de 2 mm (1-2 mm por capa), cubriendo, en forma de "L", el encuentro de la fachada con el suelo exterior, hasta una altura ≥ 15 cm; refuerzo y sellado de esquina con masilla de poliuretano </t>
    </r>
    <r>
      <rPr>
        <sz val="8"/>
        <color theme="1"/>
        <rFont val="Weber Name"/>
      </rPr>
      <t>weberflex P100</t>
    </r>
    <r>
      <rPr>
        <sz val="8"/>
        <color theme="1"/>
        <rFont val="Weber"/>
      </rPr>
      <t xml:space="preserve"> o mediante media caña con mortero reparador </t>
    </r>
    <r>
      <rPr>
        <sz val="8"/>
        <color theme="1"/>
        <rFont val="Weber Name"/>
      </rPr>
      <t>weberep HORMIPLUS</t>
    </r>
    <r>
      <rPr>
        <sz val="8"/>
        <color theme="1"/>
        <rFont val="Weber "/>
      </rPr>
      <t xml:space="preserve"> </t>
    </r>
    <r>
      <rPr>
        <sz val="8"/>
        <color theme="1"/>
        <rFont val="Weber"/>
      </rPr>
      <t xml:space="preserve">o similar (no incl.); </t>
    </r>
  </si>
  <si>
    <r>
      <t xml:space="preserve">Colocación de perfil de apoyo para los paneles aislantes de la primera hilera, </t>
    </r>
    <r>
      <rPr>
        <sz val="8"/>
        <color theme="1"/>
        <rFont val="Weber Name"/>
      </rPr>
      <t>webertherm PERFIL DE ARRANQUE</t>
    </r>
    <r>
      <rPr>
        <sz val="8"/>
        <color theme="1"/>
        <rFont val="Weber"/>
      </rPr>
      <t xml:space="preserve">, del tamaño adecuado según espesor de aislamiento, fijado mediante tornillos de zinc y tacos adecuados al soporte, dispuestos cada 30 cm y a una distancia máxima de 15 cm en los extremos del perfil. </t>
    </r>
  </si>
  <si>
    <t>webertherm baseGEL gris</t>
  </si>
  <si>
    <t>webertherm baseGEL blanco</t>
  </si>
  <si>
    <t>webertherm baseGEL</t>
  </si>
  <si>
    <t>weberdry IMPERFLEXGEL</t>
  </si>
  <si>
    <r>
      <t xml:space="preserve">suministro y aplicación de impermeabilizante cementoso flexible monocomponente </t>
    </r>
    <r>
      <rPr>
        <sz val="8"/>
        <color theme="1"/>
        <rFont val="Weber Name"/>
      </rPr>
      <t>weberdry IMPERFLEXGEL</t>
    </r>
    <r>
      <rPr>
        <sz val="8"/>
        <color theme="1"/>
        <rFont val="Weber"/>
      </rPr>
      <t>, certificado bajo norma EN-1504-2 y con las siguientes características técnicas: adherencia 28 días sobre hormigón ≥ 1,5 Mpa, resistencia al agua a presión a los 4 días ≥ 1,5 bar, resistencia al agua a presión a los 28 días ≥ 5 bar, resistencia al agua a contrapresión ≥ 1,5 bar, permeabilidad al vapor de agua Clase I: SD≤5 m, permeabilidad al CO2 SD≥50 m y reacción al fuego Euroclase B</t>
    </r>
    <r>
      <rPr>
        <vertAlign val="subscript"/>
        <sz val="8"/>
        <color theme="1"/>
        <rFont val="Weber"/>
      </rPr>
      <t>fl</t>
    </r>
    <r>
      <rPr>
        <sz val="8"/>
        <color theme="1"/>
        <rFont val="Weber"/>
      </rPr>
      <t xml:space="preserve">s1; en un espesor máximo por capa de 2 mm, cubriendo, en forma de "L", el encuentro de la fachada con el suelo exterior, hasta la altura prevista de colocación del perfil de arranque; refuerzo de esquina con banda elástica impermeabilizante </t>
    </r>
    <r>
      <rPr>
        <sz val="8"/>
        <color theme="1"/>
        <rFont val="Weber Name"/>
      </rPr>
      <t>weber IMPERBANDA;</t>
    </r>
    <r>
      <rPr>
        <sz val="8"/>
        <color theme="1"/>
        <rFont val="Weber"/>
      </rPr>
      <t xml:space="preserve"> </t>
    </r>
  </si>
  <si>
    <r>
      <t xml:space="preserve">suministro y aplicación de impermeabilizante cementoso flexible monocomponente </t>
    </r>
    <r>
      <rPr>
        <sz val="8"/>
        <color theme="1"/>
        <rFont val="Weber Name"/>
      </rPr>
      <t>weberdry IMPERFLEXGEL,</t>
    </r>
    <r>
      <rPr>
        <sz val="8"/>
        <color theme="1"/>
        <rFont val="Weber"/>
      </rPr>
      <t xml:space="preserve"> certificado bajo norma EN-1504-2 y con las siguientes características técnicas: adherencia 28 días sobre hormigón ≥ 1,5 Mpa, resistencia al agua a presión a los 4 días ≥ 1,5 bar, resistencia al agua a presión a los 28 días ≥ 5 bar, resistencia al agua a contrapresión ≥ 1,5 bar, permeabilidad al vapor de agua Clase I: SD≤5 m, permeabilidad al CO2 SD≥50 m y reacción al fuego Euroclase B</t>
    </r>
    <r>
      <rPr>
        <vertAlign val="subscript"/>
        <sz val="8"/>
        <color theme="1"/>
        <rFont val="Weber"/>
      </rPr>
      <t>fl</t>
    </r>
    <r>
      <rPr>
        <sz val="8"/>
        <color theme="1"/>
        <rFont val="Weber"/>
      </rPr>
      <t xml:space="preserve">s1; en un espesor máximo por capa de 2 mm, cubriendo, en forma de "L", el encuentro de la fachada con el suelo exterior, hasta una altura ≥ 15 cm; refuerzo y sellado de esquina con banda elástica impermeabilizante </t>
    </r>
    <r>
      <rPr>
        <sz val="8"/>
        <color theme="1"/>
        <rFont val="Weber Name"/>
      </rPr>
      <t>weber IMPERBANDA;</t>
    </r>
    <r>
      <rPr>
        <sz val="8"/>
        <color theme="1"/>
        <rFont val="Weber"/>
      </rPr>
      <t xml:space="preserve"> </t>
    </r>
  </si>
  <si>
    <t>webertherm ANCLAJE THERMAX 12/M12 110</t>
  </si>
  <si>
    <t>webertherm ANCLAJE THERMAX 16/M12 170</t>
  </si>
  <si>
    <t>pvp 2022</t>
  </si>
  <si>
    <t>% subida 2023</t>
  </si>
  <si>
    <r>
      <t xml:space="preserve">Sistema de aislamiento térmico por el exterior desmontable y reciclable para fachada, </t>
    </r>
    <r>
      <rPr>
        <sz val="8"/>
        <color theme="1"/>
        <rFont val="Weber Name"/>
      </rPr>
      <t>webertherm CIRCLE [variante]</t>
    </r>
    <r>
      <rPr>
        <sz val="8"/>
        <color theme="1"/>
        <rFont val="Weber"/>
      </rPr>
      <t xml:space="preserve">, con certificación DIBt Z-33.49-1731 y etiqueta ecológica BLAUER ENGEL; solución ganadora de los premios NAN de arquitectura 2022, GREEN PRODUCT AWARD 2020, BUNDESPREIS ECODESIGN 2019 y ARCHITECTS DARLING AWARDS GOLD 2019; </t>
    </r>
  </si>
  <si>
    <r>
      <t xml:space="preserve">La primera mano de mortero se aplicará a modo de embarrado sobre el panel aislante en espesor de 2-3 mm y, en fresco, se colocará la malla de fibra de vidrio alcalino-resistente </t>
    </r>
    <r>
      <rPr>
        <sz val="8"/>
        <color theme="1"/>
        <rFont val="Weber Name"/>
      </rPr>
      <t>webertherm MALLA 200</t>
    </r>
    <r>
      <rPr>
        <sz val="8"/>
        <color theme="1"/>
        <rFont val="Weber"/>
      </rPr>
      <t xml:space="preserve">, con apertura del entramado 7,0 x 6,5 mm, 195 g/m², espesor 0,65 mm y resistencia a la elongación 4,0 / 4,0, apretada mediante el paso de una llana de acero inoxidable hasta aproximarla al panel. Pasadas aproximadamente 24 horas, una vez seco el mortero, se realizará el refuerzo del sistema con webertherm BASEGEL, aplicado en un espesor de 2-3 mm por mano, </t>
    </r>
  </si>
  <si>
    <r>
      <t xml:space="preserve">Una vez seco el mortero de adhesión (transcurridas 24 horas), las placas serán ancladas mecánicamente con espigas de fijación universales atornilladas </t>
    </r>
    <r>
      <rPr>
        <sz val="8"/>
        <color theme="1"/>
        <rFont val="Weber Name"/>
      </rPr>
      <t>webertherm ESPIGA STR H</t>
    </r>
    <r>
      <rPr>
        <sz val="8"/>
        <color theme="1"/>
        <rFont val="Weber"/>
      </rPr>
      <t xml:space="preserve">, con puente térmico optimizado (mediante </t>
    </r>
    <r>
      <rPr>
        <sz val="8"/>
        <color theme="1"/>
        <rFont val="Weber Name"/>
      </rPr>
      <t>webertherm TAPÓN STR EPS</t>
    </r>
    <r>
      <rPr>
        <sz val="8"/>
        <color theme="1"/>
        <rFont val="Weber"/>
      </rPr>
      <t xml:space="preserve">), especialmente indicadas para soportes de madera o metal e instaladas mediante avellanado o planas en superficie, sin perforar la impermeabilización. </t>
    </r>
  </si>
  <si>
    <r>
      <t xml:space="preserve">fijadas mecánicamente con espigas fijación universales atornilladas </t>
    </r>
    <r>
      <rPr>
        <b/>
        <sz val="8"/>
        <color theme="1"/>
        <rFont val="Weber"/>
      </rPr>
      <t>webertherm ESPIGA STR H</t>
    </r>
    <r>
      <rPr>
        <sz val="8"/>
        <color theme="1"/>
        <rFont val="Weber"/>
      </rPr>
      <t xml:space="preserve">, especialmente indicadas para soportes de madera o metal, atornilladas mediante la técnica de avellanado, colocadas a razón de 10 espigas/m² mínimo, incrementando el número de éstas en zonas elevadas y expuestas a la succión del viento, y cubrición de los cabezales y enrasado con superficie mediante tapas de lana mineral, </t>
    </r>
    <r>
      <rPr>
        <sz val="8"/>
        <color theme="1"/>
        <rFont val="Weber Name"/>
      </rPr>
      <t>webertherm TAPA STR LM</t>
    </r>
    <r>
      <rPr>
        <sz val="8"/>
        <color theme="1"/>
        <rFont val="Weber"/>
      </rPr>
      <t xml:space="preserve">. </t>
    </r>
  </si>
  <si>
    <t>SISTEMA RENOVATHERM</t>
  </si>
  <si>
    <t>Base EPS</t>
  </si>
  <si>
    <t>Base LANA MINERAL</t>
  </si>
  <si>
    <r>
      <t>Finalmente, se aplicará el revestimiento de acabado</t>
    </r>
    <r>
      <rPr>
        <sz val="8"/>
        <color rgb="FF00B050"/>
        <rFont val="Weber Name"/>
      </rPr>
      <t xml:space="preserve"> Procolor Renovatherm acrílico </t>
    </r>
    <r>
      <rPr>
        <sz val="8"/>
        <color theme="1"/>
        <rFont val="Weber"/>
      </rPr>
      <t xml:space="preserve"> (disponible en granulometrías 1,0mm y 1,5mm), compuesto a base de resinas acrílicas, cargas minerales, pigmentos estables a UV, fungicidas y aditivos especiales y con las siguientes características técnicas: conductividad térmica 1,3 W/m·K, absorción agua por capilaridad W2, permeabilidad al vapor μ≤120 (V1 SD=0,25) y reacción al fuego Euroclase A2, aplicado a gota con pistola o fratasado con llana según indicaciones de la ficha técnica (granulometría, textura y color a definir por la D.F.)</t>
    </r>
  </si>
  <si>
    <r>
      <t xml:space="preserve">, con aplicación previa de la imprimación de fondeo universal </t>
    </r>
    <r>
      <rPr>
        <sz val="8"/>
        <color theme="1"/>
        <rFont val="Weber Name"/>
      </rPr>
      <t xml:space="preserve"> Procolor Renovatherm imprimación</t>
    </r>
    <r>
      <rPr>
        <sz val="8"/>
        <color theme="1"/>
        <rFont val="Weber"/>
      </rPr>
      <t>, compuesto de mezcla de copolímeros acrílicos, cargas minerales, modificadores reológicos y aditivos especiales</t>
    </r>
  </si>
  <si>
    <t xml:space="preserve">IMPORTE TOTAESTIMADO ZÓCALO </t>
  </si>
  <si>
    <r>
      <rPr>
        <b/>
        <sz val="20"/>
        <color theme="0"/>
        <rFont val="Arial"/>
        <family val="2"/>
      </rPr>
      <t xml:space="preserve">Renovatherm base EPS </t>
    </r>
    <r>
      <rPr>
        <sz val="20"/>
        <color theme="0"/>
        <rFont val="Arial"/>
        <family val="2"/>
      </rPr>
      <t>acabado orgánico</t>
    </r>
  </si>
  <si>
    <t>Espesor material aislante</t>
  </si>
  <si>
    <t>Tipo espiga</t>
  </si>
  <si>
    <t>webertherm espiga SLD5</t>
  </si>
  <si>
    <t>ON</t>
  </si>
  <si>
    <t>REH</t>
  </si>
  <si>
    <t>OBRA NUEVA</t>
  </si>
  <si>
    <t>REHABILITACIÓN</t>
  </si>
  <si>
    <t>CALCULO TAMAÑO ESPIGAS</t>
  </si>
  <si>
    <t>webertherm espiga SRD5</t>
  </si>
  <si>
    <t>Tamaño</t>
  </si>
  <si>
    <t>webertherm espiga SLD5 95</t>
  </si>
  <si>
    <t>webertherm espiga SLD5 115</t>
  </si>
  <si>
    <t>webertherm espiga SLD5 135</t>
  </si>
  <si>
    <t>webertherm espiga SLD5 155</t>
  </si>
  <si>
    <t>webertherm espiga SLD5 175</t>
  </si>
  <si>
    <t>webertherm espiga SLD5 195</t>
  </si>
  <si>
    <t>webertherm espiga SLD5 215</t>
  </si>
  <si>
    <t>webertherm espiga SLD5 235</t>
  </si>
  <si>
    <t>webertherm espiga SLD5 255</t>
  </si>
  <si>
    <t>webertherm espiga SLD5 275</t>
  </si>
  <si>
    <t>webertherm espiga SLD5 295</t>
  </si>
  <si>
    <t>webertherm espiga SRD5 115</t>
  </si>
  <si>
    <t>webertherm espiga SRD5 135</t>
  </si>
  <si>
    <t>webertherm espiga SRD5 155</t>
  </si>
  <si>
    <t>webertherm espiga SRD5 175</t>
  </si>
  <si>
    <t>webertherm espiga SRD5 195</t>
  </si>
  <si>
    <t>webertherm espiga SLD560</t>
  </si>
  <si>
    <t>webertherm espiga SLD580</t>
  </si>
  <si>
    <t>webertherm espiga SLD5100</t>
  </si>
  <si>
    <t>webertherm espiga SLD5120</t>
  </si>
  <si>
    <t>webertherm espiga SLD5140</t>
  </si>
  <si>
    <t>webertherm espiga SLD5160</t>
  </si>
  <si>
    <t>webertherm espiga SLD5180</t>
  </si>
  <si>
    <t>webertherm espiga SLD5200</t>
  </si>
  <si>
    <t>webertherm espiga SLD5220</t>
  </si>
  <si>
    <t>webertherm espiga SLD5240</t>
  </si>
  <si>
    <t>webertherm espiga SLD5260</t>
  </si>
  <si>
    <t>webertherm espiga SRD580</t>
  </si>
  <si>
    <t>webertherm espiga SRD5100</t>
  </si>
  <si>
    <t>webertherm espiga SRD5120</t>
  </si>
  <si>
    <t>webertherm espiga SRD5140</t>
  </si>
  <si>
    <t>webertherm espiga SRD5160</t>
  </si>
  <si>
    <t>webertherm espiga H340</t>
  </si>
  <si>
    <t>webertherm espiga H360</t>
  </si>
  <si>
    <t>webertherm espiga H380</t>
  </si>
  <si>
    <t>webertherm espiga H3100</t>
  </si>
  <si>
    <t>webertherm espiga H3120</t>
  </si>
  <si>
    <t>webertherm espiga H3140</t>
  </si>
  <si>
    <t>webertherm espiga H3160</t>
  </si>
  <si>
    <t>webertherm espiga H3180</t>
  </si>
  <si>
    <t>webertherm espiga H3200</t>
  </si>
  <si>
    <t>rehabilitación</t>
  </si>
  <si>
    <t>webertherm espiga SLD540</t>
  </si>
  <si>
    <t>webertherm espiga SRD560</t>
  </si>
  <si>
    <t>rehab</t>
  </si>
  <si>
    <r>
      <rPr>
        <b/>
        <sz val="20"/>
        <color theme="0"/>
        <rFont val="Arial"/>
        <family val="2"/>
      </rPr>
      <t xml:space="preserve">Renovatherm base Lana Mineral </t>
    </r>
    <r>
      <rPr>
        <sz val="20"/>
        <color theme="0"/>
        <rFont val="Arial"/>
        <family val="2"/>
      </rPr>
      <t>acabado orgánico</t>
    </r>
  </si>
  <si>
    <t xml:space="preserve">RENOVATHERM BLANCO = BASE BB </t>
  </si>
  <si>
    <t xml:space="preserve">PROAKRIL PLUS MAT MIX BLANCO=BASE BB </t>
  </si>
  <si>
    <t>PROCOTEX LISO MAT BLANCO 0100</t>
  </si>
  <si>
    <t>PROCOTEX EXT. LISO BLANCO 0100</t>
  </si>
  <si>
    <t xml:space="preserve">ALPHALOXAN FARBE BIANCO=BASE W05 </t>
  </si>
  <si>
    <t>ALPHALOXAN FLEX B.CO=BASE W05 EBT</t>
  </si>
  <si>
    <t>PROSILOX LISO BLANCO 0100</t>
  </si>
  <si>
    <t>PROCOLITE BLANCO 0100</t>
  </si>
  <si>
    <t>KG</t>
  </si>
  <si>
    <t>Pigmento</t>
  </si>
  <si>
    <t>Procolor Renovatherm Mortero Acrílico 1.0 BB</t>
  </si>
  <si>
    <t>Procolor Renovatherm Mortero Acrílico 1.0 BN</t>
  </si>
  <si>
    <t>Procolor Renovatherm Mortero Acrílico 1.5 BN</t>
  </si>
  <si>
    <t>Procolor Renovatherm Mortero Acrílico 1.5 BB</t>
  </si>
  <si>
    <t>Procolor Renovatherm Imprimación 15 l</t>
  </si>
  <si>
    <t>Procolor Renovatherm Imprimación 5 l</t>
  </si>
  <si>
    <r>
      <t xml:space="preserve">Sistema de aislamiento térmico por el exterior en fachada </t>
    </r>
    <r>
      <rPr>
        <sz val="8"/>
        <color theme="1"/>
        <rFont val="Weber Name"/>
      </rPr>
      <t>Renovatherm [variante]</t>
    </r>
    <r>
      <rPr>
        <sz val="8"/>
        <color theme="1"/>
        <rFont val="Weber"/>
      </rPr>
      <t xml:space="preserve">, con ETA 23/0349  </t>
    </r>
  </si>
  <si>
    <r>
      <t xml:space="preserve">Sistema de aislamiento térmico por el exterior en fachada </t>
    </r>
    <r>
      <rPr>
        <sz val="8"/>
        <color theme="1"/>
        <rFont val="Weber Name"/>
      </rPr>
      <t>Renovatherm  [variante]</t>
    </r>
    <r>
      <rPr>
        <sz val="8"/>
        <color theme="1"/>
        <rFont val="Weber"/>
      </rPr>
      <t xml:space="preserve">, con ETA 23/0350  </t>
    </r>
  </si>
  <si>
    <t>ETA 23/0349</t>
  </si>
  <si>
    <t>ETA 23/0350</t>
  </si>
  <si>
    <t>pvp 2023</t>
  </si>
  <si>
    <t>webertherm PLACA EPS 170</t>
  </si>
  <si>
    <t>webertherm PLACA EPS 180</t>
  </si>
  <si>
    <t>webertherm PLACA EPS 190</t>
  </si>
  <si>
    <t>webertherm PLACA EPS 200</t>
  </si>
  <si>
    <t>webertherm PLACA EPS GRAFITO 170</t>
  </si>
  <si>
    <t>webertherm PLACA EPS GRAFITO 180</t>
  </si>
  <si>
    <t>webertherm PLACA EPS GRAFITO 190</t>
  </si>
  <si>
    <t>webertherm PLACA EPS GRAFITO 200</t>
  </si>
  <si>
    <t>webertherm PLACA EPS GRAFITO 250</t>
  </si>
  <si>
    <t>webertherm PLACA TF PROFI 30</t>
  </si>
  <si>
    <t>webertherm PLACA TF PROFI 50</t>
  </si>
  <si>
    <t>descatalogada?</t>
  </si>
  <si>
    <t>webertherm PLACA SOLADO 20</t>
  </si>
  <si>
    <t>webertherm MALLA 200</t>
  </si>
  <si>
    <t>webertherm MALLA 320</t>
  </si>
  <si>
    <t>webertene PRIMER (Color Tendencia)</t>
  </si>
  <si>
    <t>webertene PRIMER (Color Premium)</t>
  </si>
  <si>
    <t>weber CS PLUS (Color Tendencia)</t>
  </si>
  <si>
    <t>igual PVP que el primer</t>
  </si>
  <si>
    <t>weber CS PLUS (Color Premium)</t>
  </si>
  <si>
    <t>weberprim TP05 (20 kg)</t>
  </si>
  <si>
    <t>garrafa</t>
  </si>
  <si>
    <t>weberprim TP05 (5 kg)</t>
  </si>
  <si>
    <t>Revestimientos</t>
  </si>
  <si>
    <t>webertene EXTRACLEAN ACTIVE (Color Tendencia)</t>
  </si>
  <si>
    <t>webertene EXTRACLEAN ACTIVE (Color Premium)</t>
  </si>
  <si>
    <t>weberneto S400</t>
  </si>
  <si>
    <t>webermur LISO (blanco)</t>
  </si>
  <si>
    <t>webertherm CLIMA (Color Estándar)</t>
  </si>
  <si>
    <t>webertherm CLIMA (Color Premium)</t>
  </si>
  <si>
    <t>webercol FLEX² MULTIRAPID blanco</t>
  </si>
  <si>
    <t>webercol FLEX² MULTIRAPID gris</t>
  </si>
  <si>
    <t>webercol FLEX² MULTIGEL blanco</t>
  </si>
  <si>
    <t>webercol FLEX² MULTIGEL gris</t>
  </si>
  <si>
    <t>webercol MULTIGEL PREMIUM (4x5 kg)</t>
  </si>
  <si>
    <t>webercol MULTIGEL PREMIUM (25 kg)</t>
  </si>
  <si>
    <t>webercol FLEX³ SUPERGEL blanco</t>
  </si>
  <si>
    <t>webercol SUPERGEL PREMIUM</t>
  </si>
  <si>
    <t>webercol FLEX³ SUPERAPID blanco</t>
  </si>
  <si>
    <t>webercol FLEX³ SUPERAPID gris</t>
  </si>
  <si>
    <t>webercolor PREMIUM 4x5 kg (Color Estándar)</t>
  </si>
  <si>
    <t>webercolor PREMIUM 4x5 kg (Color Premium)</t>
  </si>
  <si>
    <t>webercolor PREMIUM 15 kg (Color Estándar)</t>
  </si>
  <si>
    <t>weberprim FX15</t>
  </si>
  <si>
    <t>webertherm ARANDELA 140</t>
  </si>
  <si>
    <t>webertherm PERFIL JUNTA DILATACIÓN +/- 1</t>
  </si>
  <si>
    <t>weberdry IMPERFLEXGEL (4x5 kg)</t>
  </si>
  <si>
    <t>weberdry IMPERFLEXGEL (15 kg)</t>
  </si>
  <si>
    <t>ACCESORIOS WT ROBUSTO</t>
  </si>
  <si>
    <t>webertherm CORONA RS</t>
  </si>
  <si>
    <t>webertherm SEPARADOR RD</t>
  </si>
  <si>
    <t>webertherm MALLA METÁLICA</t>
  </si>
  <si>
    <t>morteros WT ROBUSTO</t>
  </si>
  <si>
    <t>webercal AISROC</t>
  </si>
  <si>
    <t>webertherm INTO HP</t>
  </si>
  <si>
    <t>morteros cola rápidos</t>
  </si>
  <si>
    <t>Código</t>
  </si>
  <si>
    <t>Descripción</t>
  </si>
  <si>
    <t xml:space="preserve">PVP </t>
  </si>
  <si>
    <t>PROAKRIL SATINADO</t>
  </si>
  <si>
    <t xml:space="preserve">PROCOTEX RUG.  MAT BLANCO 0100 </t>
  </si>
  <si>
    <t>25 KG</t>
  </si>
  <si>
    <t xml:space="preserve">RENOVATHERM MORTAR 1.0 BLANCO=BASE BB </t>
  </si>
  <si>
    <t xml:space="preserve">RENOVATHERM MORTAR 1.0 BASE BN </t>
  </si>
  <si>
    <t>RENOVATHERM MORTAR 1.5 BLANCO=BASE BB</t>
  </si>
  <si>
    <t>RENOVATHERM MORTAR 1.5 BASE BN</t>
  </si>
  <si>
    <t xml:space="preserve">PROCOFLEX SE MATE BLANCO=BB </t>
  </si>
  <si>
    <t xml:space="preserve">PROCOSIL PLUS MATE BLANCO=BB </t>
  </si>
  <si>
    <t>RENOVATHERM PRIMER BLANCO=BASE BB 15L</t>
  </si>
  <si>
    <t>RENOVATHERM PRIMER BLANCO=BASE BB 5L</t>
  </si>
  <si>
    <t>PVP unidad 2024</t>
  </si>
  <si>
    <t>webertherm PLACA JAMBAS 20</t>
  </si>
  <si>
    <t>240.93</t>
  </si>
  <si>
    <t>webercol MULTIGEL FUTURE (25 kg)</t>
  </si>
  <si>
    <t>webercol SUPERGEL FUTURE</t>
  </si>
  <si>
    <t>webercolor PREMIUM OCEAN</t>
  </si>
  <si>
    <t>webercolor PREMIUM FINA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</si>
</sst>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quot;€&quot;* #,##0.00_);_(&quot;€&quot;* \(#,##0.00\);_(&quot;€&quot;* &quot;-&quot;??_);_(@_)"/>
    <numFmt numFmtId="165" formatCode="#0.00\ &quot;€/m2&quot;"/>
    <numFmt numFmtId="166" formatCode="#0.00\ &quot;€/ml&quot;"/>
    <numFmt numFmtId="167" formatCode="0.000"/>
    <numFmt numFmtId="168" formatCode="#0.00\ &quot;€/m²&quot;"/>
    <numFmt numFmtId="169" formatCode="#0.00\ &quot;kg&quot;"/>
    <numFmt numFmtId="170" formatCode="#0.00\ &quot;€&quot;"/>
    <numFmt numFmtId="171" formatCode="#0\ &quot;kg&quot;"/>
    <numFmt numFmtId="172" formatCode="#0\ &quot;ud&quot;"/>
    <numFmt numFmtId="173" formatCode="#0\ &quot;l&quot;"/>
    <numFmt numFmtId="174" formatCode="#0\ &quot;sacos&quot;"/>
    <numFmt numFmtId="175" formatCode="#0\ &quot;bidones&quot;"/>
    <numFmt numFmtId="176" formatCode="#0\ &quot;cajas&quot;"/>
    <numFmt numFmtId="177" formatCode="#0\ &quot;rollos&quot;"/>
    <numFmt numFmtId="178" formatCode="#0.00\ &quot;€/m² (*)&quot;"/>
    <numFmt numFmtId="179" formatCode="#0\ &quot;m²&quot;"/>
    <numFmt numFmtId="180" formatCode="0.0000"/>
    <numFmt numFmtId="181" formatCode="0\ &quot;mm&quot;"/>
    <numFmt numFmtId="182" formatCode="#0.00\ &quot;l&quot;"/>
    <numFmt numFmtId="183" formatCode="#0.00\ &quot;m²&quot;"/>
    <numFmt numFmtId="184" formatCode="#0.00\ &quot;ud&quot;"/>
    <numFmt numFmtId="185" formatCode="0\ &quot;m²&quot;"/>
    <numFmt numFmtId="186" formatCode="#0.00\ &quot;€/ud&quot;"/>
  </numFmts>
  <fonts count="74">
    <font>
      <sz val="11"/>
      <color theme="1"/>
      <name val="Calibri"/>
      <family val="2"/>
      <scheme val="minor"/>
    </font>
    <font>
      <b/>
      <sz val="11"/>
      <color theme="1"/>
      <name val="Calibri"/>
      <family val="2"/>
      <scheme val="minor"/>
    </font>
    <font>
      <sz val="11"/>
      <color rgb="FFFF0000"/>
      <name val="Calibri"/>
      <family val="2"/>
      <scheme val="minor"/>
    </font>
    <font>
      <u/>
      <sz val="11"/>
      <color theme="10"/>
      <name val="Calibri"/>
      <family val="2"/>
      <scheme val="minor"/>
    </font>
    <font>
      <sz val="10"/>
      <name val="Arial"/>
      <family val="2"/>
    </font>
    <font>
      <vertAlign val="superscript"/>
      <sz val="11"/>
      <color theme="1"/>
      <name val="Calibri"/>
      <family val="2"/>
      <scheme val="minor"/>
    </font>
    <font>
      <sz val="9"/>
      <color indexed="81"/>
      <name val="Tahoma"/>
      <family val="2"/>
    </font>
    <font>
      <b/>
      <sz val="9"/>
      <color indexed="81"/>
      <name val="Tahoma"/>
      <family val="2"/>
    </font>
    <font>
      <sz val="8"/>
      <color theme="1"/>
      <name val="Weber"/>
    </font>
    <font>
      <b/>
      <sz val="9"/>
      <color theme="1"/>
      <name val="Weber"/>
    </font>
    <font>
      <sz val="8"/>
      <color theme="1"/>
      <name val="Weber Name"/>
    </font>
    <font>
      <sz val="8"/>
      <color rgb="FF00B050"/>
      <name val="Weber Name"/>
    </font>
    <font>
      <vertAlign val="superscript"/>
      <sz val="8"/>
      <color theme="1"/>
      <name val="Weber"/>
    </font>
    <font>
      <sz val="8"/>
      <name val="Weber"/>
    </font>
    <font>
      <sz val="8"/>
      <color rgb="FF00B050"/>
      <name val="Weber"/>
    </font>
    <font>
      <sz val="8"/>
      <name val="Weber Name"/>
    </font>
    <font>
      <b/>
      <sz val="11"/>
      <color theme="0"/>
      <name val="Calibri"/>
      <family val="2"/>
      <scheme val="minor"/>
    </font>
    <font>
      <sz val="11"/>
      <color theme="0"/>
      <name val="Calibri"/>
      <family val="2"/>
      <scheme val="minor"/>
    </font>
    <font>
      <sz val="9"/>
      <color theme="1"/>
      <name val="Weber"/>
    </font>
    <font>
      <sz val="9"/>
      <color theme="1"/>
      <name val="Weber Name"/>
    </font>
    <font>
      <vertAlign val="subscript"/>
      <sz val="8"/>
      <color theme="1"/>
      <name val="Weber"/>
    </font>
    <font>
      <sz val="8"/>
      <color theme="1"/>
      <name val="Weber "/>
    </font>
    <font>
      <b/>
      <sz val="11"/>
      <color theme="3"/>
      <name val="Calibri"/>
      <family val="2"/>
      <scheme val="minor"/>
    </font>
    <font>
      <sz val="11"/>
      <color theme="3"/>
      <name val="Calibri"/>
      <family val="2"/>
      <scheme val="minor"/>
    </font>
    <font>
      <sz val="11"/>
      <color theme="1"/>
      <name val="Calibri"/>
      <family val="2"/>
      <scheme val="minor"/>
    </font>
    <font>
      <b/>
      <sz val="11"/>
      <color theme="5"/>
      <name val="Calibri"/>
      <family val="2"/>
      <scheme val="minor"/>
    </font>
    <font>
      <b/>
      <sz val="11"/>
      <color theme="8"/>
      <name val="Calibri"/>
      <family val="2"/>
      <scheme val="minor"/>
    </font>
    <font>
      <b/>
      <sz val="11"/>
      <color rgb="FFFF0000"/>
      <name val="Calibri"/>
      <family val="2"/>
      <scheme val="minor"/>
    </font>
    <font>
      <sz val="8"/>
      <color theme="1"/>
      <name val="Calibri Light"/>
      <family val="2"/>
    </font>
    <font>
      <sz val="8"/>
      <color rgb="FF00B050"/>
      <name val="Calibri Light"/>
      <family val="2"/>
    </font>
    <font>
      <b/>
      <strike/>
      <sz val="11"/>
      <color theme="3"/>
      <name val="Calibri"/>
      <family val="2"/>
      <scheme val="minor"/>
    </font>
    <font>
      <strike/>
      <sz val="11"/>
      <color theme="3"/>
      <name val="Calibri"/>
      <family val="2"/>
      <scheme val="minor"/>
    </font>
    <font>
      <strike/>
      <vertAlign val="superscript"/>
      <sz val="11"/>
      <color theme="3"/>
      <name val="Calibri"/>
      <family val="2"/>
      <scheme val="minor"/>
    </font>
    <font>
      <b/>
      <sz val="11"/>
      <color rgb="FF0070C0"/>
      <name val="Calibri"/>
      <family val="2"/>
      <scheme val="minor"/>
    </font>
    <font>
      <sz val="11"/>
      <color rgb="FF0070C0"/>
      <name val="Calibri"/>
      <family val="2"/>
      <scheme val="minor"/>
    </font>
    <font>
      <b/>
      <strike/>
      <sz val="11"/>
      <color theme="5"/>
      <name val="Calibri"/>
      <family val="2"/>
      <scheme val="minor"/>
    </font>
    <font>
      <sz val="11"/>
      <name val="Calibri"/>
      <family val="2"/>
      <scheme val="minor"/>
    </font>
    <font>
      <vertAlign val="superscript"/>
      <sz val="11"/>
      <color rgb="FF0070C0"/>
      <name val="Calibri"/>
      <family val="2"/>
      <scheme val="minor"/>
    </font>
    <font>
      <sz val="10"/>
      <color theme="1"/>
      <name val="Arial"/>
      <family val="2"/>
    </font>
    <font>
      <sz val="12"/>
      <color theme="1"/>
      <name val="Arial"/>
      <family val="2"/>
    </font>
    <font>
      <u/>
      <sz val="11"/>
      <color theme="10"/>
      <name val="Arial"/>
      <family val="2"/>
    </font>
    <font>
      <sz val="11"/>
      <color theme="0"/>
      <name val="Arial"/>
      <family val="2"/>
    </font>
    <font>
      <sz val="11"/>
      <color theme="1"/>
      <name val="Arial"/>
      <family val="2"/>
    </font>
    <font>
      <sz val="11"/>
      <color theme="0" tint="-0.499984740745262"/>
      <name val="Arial"/>
      <family val="2"/>
    </font>
    <font>
      <sz val="12"/>
      <color theme="0" tint="-0.499984740745262"/>
      <name val="Arial"/>
      <family val="2"/>
    </font>
    <font>
      <sz val="8"/>
      <color theme="1"/>
      <name val="Arial"/>
      <family val="2"/>
    </font>
    <font>
      <sz val="8"/>
      <color theme="0" tint="-0.499984740745262"/>
      <name val="Arial"/>
      <family val="2"/>
    </font>
    <font>
      <b/>
      <sz val="12"/>
      <name val="Arial"/>
      <family val="2"/>
    </font>
    <font>
      <b/>
      <u/>
      <sz val="12"/>
      <name val="Arial"/>
      <family val="2"/>
    </font>
    <font>
      <sz val="11"/>
      <name val="Arial"/>
      <family val="2"/>
    </font>
    <font>
      <b/>
      <sz val="11"/>
      <color theme="1"/>
      <name val="Arial"/>
      <family val="2"/>
    </font>
    <font>
      <b/>
      <sz val="10"/>
      <color theme="1"/>
      <name val="Arial"/>
      <family val="2"/>
    </font>
    <font>
      <sz val="13"/>
      <color theme="1"/>
      <name val="Arial"/>
      <family val="2"/>
    </font>
    <font>
      <sz val="10"/>
      <color theme="0"/>
      <name val="Arial"/>
      <family val="2"/>
    </font>
    <font>
      <sz val="12"/>
      <name val="Arial"/>
      <family val="2"/>
    </font>
    <font>
      <sz val="9"/>
      <color theme="1"/>
      <name val="Arial"/>
      <family val="2"/>
    </font>
    <font>
      <b/>
      <sz val="14"/>
      <color theme="0"/>
      <name val="Arial"/>
      <family val="2"/>
    </font>
    <font>
      <b/>
      <sz val="13"/>
      <name val="Arial"/>
      <family val="2"/>
    </font>
    <font>
      <b/>
      <sz val="13"/>
      <color theme="0"/>
      <name val="Arial"/>
      <family val="2"/>
    </font>
    <font>
      <b/>
      <sz val="8"/>
      <color theme="1"/>
      <name val="Weber"/>
    </font>
    <font>
      <sz val="14"/>
      <color theme="0"/>
      <name val="Arial"/>
      <family val="2"/>
    </font>
    <font>
      <sz val="28"/>
      <color theme="0"/>
      <name val="Arial"/>
      <family val="2"/>
    </font>
    <font>
      <sz val="20"/>
      <color theme="1"/>
      <name val="Arial"/>
      <family val="2"/>
    </font>
    <font>
      <sz val="20"/>
      <color theme="0"/>
      <name val="Arial"/>
      <family val="2"/>
    </font>
    <font>
      <b/>
      <sz val="20"/>
      <color theme="0"/>
      <name val="Arial"/>
      <family val="2"/>
    </font>
    <font>
      <sz val="8"/>
      <name val="Calibri"/>
      <family val="2"/>
      <scheme val="minor"/>
    </font>
    <font>
      <b/>
      <sz val="11"/>
      <color rgb="FF00B0F0"/>
      <name val="Calibri"/>
      <family val="2"/>
      <scheme val="minor"/>
    </font>
    <font>
      <sz val="11"/>
      <color rgb="FF00B0F0"/>
      <name val="Calibri"/>
      <family val="2"/>
      <scheme val="minor"/>
    </font>
    <font>
      <sz val="9"/>
      <color rgb="FF000000"/>
      <name val="Arial"/>
      <family val="2"/>
    </font>
    <font>
      <sz val="10"/>
      <color rgb="FFFF0000"/>
      <name val="Arial"/>
      <family val="2"/>
    </font>
    <font>
      <sz val="11"/>
      <color theme="1"/>
      <name val="Aptos"/>
      <family val="2"/>
    </font>
    <font>
      <sz val="10"/>
      <color rgb="FF000000"/>
      <name val="Arial"/>
      <family val="2"/>
    </font>
    <font>
      <b/>
      <sz val="10"/>
      <color rgb="FF000000"/>
      <name val="Arial"/>
      <family val="2"/>
    </font>
    <font>
      <sz val="10"/>
      <color rgb="FF44B3E1"/>
      <name val="Arial"/>
      <family val="2"/>
    </font>
  </fonts>
  <fills count="40">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1"/>
        <bgColor indexed="64"/>
      </patternFill>
    </fill>
    <fill>
      <patternFill patternType="solid">
        <fgColor theme="1" tint="0.499984740745262"/>
        <bgColor indexed="64"/>
      </patternFill>
    </fill>
    <fill>
      <patternFill patternType="solid">
        <fgColor theme="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92D050"/>
        <bgColor indexed="64"/>
      </patternFill>
    </fill>
    <fill>
      <patternFill patternType="solid">
        <fgColor rgb="FFCC99FF"/>
        <bgColor indexed="64"/>
      </patternFill>
    </fill>
    <fill>
      <patternFill patternType="solid">
        <fgColor rgb="FF00B0F0"/>
        <bgColor indexed="64"/>
      </patternFill>
    </fill>
    <fill>
      <patternFill patternType="solid">
        <fgColor rgb="FFC0E4F8"/>
        <bgColor indexed="64"/>
      </patternFill>
    </fill>
    <fill>
      <patternFill patternType="solid">
        <fgColor rgb="FFFF9999"/>
        <bgColor indexed="64"/>
      </patternFill>
    </fill>
    <fill>
      <patternFill patternType="solid">
        <fgColor rgb="FFFFDDF6"/>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rgb="FFCCCCFF"/>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A50021"/>
        <bgColor indexed="64"/>
      </patternFill>
    </fill>
    <fill>
      <patternFill patternType="solid">
        <fgColor theme="4" tint="0.39997558519241921"/>
        <bgColor indexed="64"/>
      </patternFill>
    </fill>
    <fill>
      <patternFill patternType="solid">
        <fgColor rgb="FFFF99FF"/>
        <bgColor indexed="64"/>
      </patternFill>
    </fill>
    <fill>
      <patternFill patternType="solid">
        <fgColor rgb="FFA6C9EC"/>
        <bgColor indexed="64"/>
      </patternFill>
    </fill>
  </fills>
  <borders count="3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top/>
      <bottom/>
      <diagonal/>
    </border>
    <border>
      <left/>
      <right/>
      <top/>
      <bottom style="dashed">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5">
    <xf numFmtId="0" fontId="0" fillId="0" borderId="0"/>
    <xf numFmtId="0" fontId="3" fillId="0" borderId="0" applyNumberFormat="0" applyFill="0" applyBorder="0" applyAlignment="0" applyProtection="0"/>
    <xf numFmtId="0" fontId="4" fillId="0" borderId="0"/>
    <xf numFmtId="164" fontId="24" fillId="0" borderId="0" applyFont="0" applyFill="0" applyBorder="0" applyAlignment="0" applyProtection="0"/>
    <xf numFmtId="9" fontId="24" fillId="0" borderId="0" applyFont="0" applyFill="0" applyBorder="0" applyAlignment="0" applyProtection="0"/>
  </cellStyleXfs>
  <cellXfs count="553">
    <xf numFmtId="0" fontId="0" fillId="0" borderId="0" xfId="0"/>
    <xf numFmtId="0" fontId="1" fillId="0" borderId="0" xfId="0" applyFont="1"/>
    <xf numFmtId="0" fontId="0" fillId="3" borderId="0" xfId="0" applyFill="1"/>
    <xf numFmtId="0" fontId="0" fillId="0" borderId="0" xfId="0" applyFill="1"/>
    <xf numFmtId="0" fontId="0" fillId="0" borderId="8" xfId="0" applyFill="1" applyBorder="1"/>
    <xf numFmtId="0" fontId="0" fillId="0" borderId="6" xfId="0" applyFill="1" applyBorder="1"/>
    <xf numFmtId="0" fontId="1" fillId="5" borderId="0" xfId="0" applyFont="1" applyFill="1"/>
    <xf numFmtId="0" fontId="2" fillId="2" borderId="0" xfId="0" applyFont="1" applyFill="1"/>
    <xf numFmtId="0" fontId="0" fillId="2" borderId="0" xfId="0" applyFill="1"/>
    <xf numFmtId="0" fontId="0" fillId="0" borderId="20" xfId="0" applyBorder="1"/>
    <xf numFmtId="0" fontId="0" fillId="11" borderId="20" xfId="0" applyFill="1" applyBorder="1"/>
    <xf numFmtId="0" fontId="0" fillId="12" borderId="20" xfId="0" applyFill="1" applyBorder="1"/>
    <xf numFmtId="0" fontId="0" fillId="0" borderId="20" xfId="0" applyFill="1" applyBorder="1"/>
    <xf numFmtId="0" fontId="0" fillId="0" borderId="6" xfId="0" applyBorder="1"/>
    <xf numFmtId="0" fontId="0" fillId="0" borderId="24" xfId="0" applyBorder="1"/>
    <xf numFmtId="0" fontId="0" fillId="3" borderId="2" xfId="0" applyFill="1" applyBorder="1"/>
    <xf numFmtId="0" fontId="0" fillId="3" borderId="3" xfId="0" applyFill="1" applyBorder="1"/>
    <xf numFmtId="0" fontId="0" fillId="3" borderId="4" xfId="0" applyFill="1" applyBorder="1"/>
    <xf numFmtId="0" fontId="0" fillId="3" borderId="5" xfId="0" applyFill="1" applyBorder="1"/>
    <xf numFmtId="0" fontId="0" fillId="3" borderId="6" xfId="0" applyFill="1" applyBorder="1"/>
    <xf numFmtId="0" fontId="0" fillId="3" borderId="7" xfId="0" applyFill="1" applyBorder="1"/>
    <xf numFmtId="0" fontId="0" fillId="0" borderId="21" xfId="0" applyBorder="1"/>
    <xf numFmtId="0" fontId="0" fillId="12" borderId="21" xfId="0" applyFill="1" applyBorder="1"/>
    <xf numFmtId="0" fontId="0" fillId="12" borderId="10" xfId="0" applyFill="1" applyBorder="1"/>
    <xf numFmtId="0" fontId="0" fillId="0" borderId="11" xfId="0" applyBorder="1"/>
    <xf numFmtId="0" fontId="0" fillId="12" borderId="12" xfId="0" applyFill="1" applyBorder="1"/>
    <xf numFmtId="0" fontId="0" fillId="0" borderId="13" xfId="0" applyBorder="1"/>
    <xf numFmtId="0" fontId="0" fillId="0" borderId="22" xfId="0" applyBorder="1"/>
    <xf numFmtId="0" fontId="0" fillId="12" borderId="22" xfId="0" applyFill="1" applyBorder="1"/>
    <xf numFmtId="0" fontId="0" fillId="11" borderId="22" xfId="0" applyFill="1" applyBorder="1"/>
    <xf numFmtId="0" fontId="0" fillId="12" borderId="14" xfId="0" applyFill="1" applyBorder="1"/>
    <xf numFmtId="0" fontId="0" fillId="2" borderId="9" xfId="0" applyFill="1" applyBorder="1"/>
    <xf numFmtId="0" fontId="0" fillId="2" borderId="20" xfId="0" applyFill="1" applyBorder="1"/>
    <xf numFmtId="0" fontId="8" fillId="0" borderId="0" xfId="0" applyFont="1" applyAlignment="1">
      <alignment vertical="top" wrapText="1"/>
    </xf>
    <xf numFmtId="0" fontId="9" fillId="2" borderId="17" xfId="0" applyFont="1" applyFill="1" applyBorder="1" applyAlignment="1">
      <alignment vertical="center"/>
    </xf>
    <xf numFmtId="0" fontId="9" fillId="2" borderId="19" xfId="0" applyFont="1" applyFill="1" applyBorder="1" applyAlignment="1">
      <alignment vertical="center"/>
    </xf>
    <xf numFmtId="0" fontId="8" fillId="0" borderId="0" xfId="0" applyFont="1" applyAlignment="1">
      <alignment vertical="center"/>
    </xf>
    <xf numFmtId="0" fontId="8" fillId="0" borderId="20" xfId="0" applyFont="1" applyBorder="1" applyAlignment="1">
      <alignment vertical="center"/>
    </xf>
    <xf numFmtId="0" fontId="8" fillId="0" borderId="20" xfId="0" applyFont="1" applyBorder="1" applyAlignment="1">
      <alignment vertical="center" wrapText="1"/>
    </xf>
    <xf numFmtId="0" fontId="8" fillId="0" borderId="20" xfId="0" applyFont="1" applyBorder="1" applyAlignment="1">
      <alignment horizontal="center" vertical="center" wrapText="1"/>
    </xf>
    <xf numFmtId="0" fontId="8" fillId="0" borderId="20" xfId="0" applyFont="1" applyBorder="1" applyAlignment="1">
      <alignment vertical="top" wrapText="1"/>
    </xf>
    <xf numFmtId="0" fontId="8" fillId="0" borderId="0" xfId="0" applyFont="1" applyAlignment="1">
      <alignment vertical="top"/>
    </xf>
    <xf numFmtId="0" fontId="8" fillId="0" borderId="20" xfId="0" applyFont="1" applyBorder="1" applyAlignment="1">
      <alignment horizontal="center" vertical="center"/>
    </xf>
    <xf numFmtId="0" fontId="8" fillId="14" borderId="20" xfId="0" applyFont="1" applyFill="1" applyBorder="1" applyAlignment="1">
      <alignment vertical="center"/>
    </xf>
    <xf numFmtId="0" fontId="8" fillId="14" borderId="20" xfId="0" applyFont="1" applyFill="1" applyBorder="1" applyAlignment="1">
      <alignment vertical="center" wrapText="1"/>
    </xf>
    <xf numFmtId="0" fontId="8" fillId="14" borderId="20" xfId="0" applyFont="1" applyFill="1" applyBorder="1" applyAlignment="1">
      <alignment horizontal="center" vertical="center"/>
    </xf>
    <xf numFmtId="0" fontId="8" fillId="0" borderId="20" xfId="0" applyFont="1" applyFill="1" applyBorder="1" applyAlignment="1">
      <alignment vertical="center"/>
    </xf>
    <xf numFmtId="0" fontId="8" fillId="15" borderId="20" xfId="0" applyFont="1" applyFill="1" applyBorder="1" applyAlignment="1">
      <alignment vertical="top" wrapText="1"/>
    </xf>
    <xf numFmtId="0" fontId="8" fillId="15" borderId="20" xfId="0" applyFont="1" applyFill="1" applyBorder="1" applyAlignment="1">
      <alignment vertical="center" wrapText="1"/>
    </xf>
    <xf numFmtId="0" fontId="8" fillId="14" borderId="17" xfId="0" applyFont="1" applyFill="1" applyBorder="1" applyAlignment="1">
      <alignment vertical="center"/>
    </xf>
    <xf numFmtId="0" fontId="8" fillId="14" borderId="17" xfId="0" applyFont="1" applyFill="1" applyBorder="1" applyAlignment="1">
      <alignment vertical="top" wrapText="1"/>
    </xf>
    <xf numFmtId="167" fontId="8" fillId="0" borderId="20" xfId="0" applyNumberFormat="1" applyFont="1" applyBorder="1" applyAlignment="1">
      <alignment horizontal="center" vertical="center"/>
    </xf>
    <xf numFmtId="0" fontId="9" fillId="2" borderId="20" xfId="0" applyFont="1" applyFill="1" applyBorder="1" applyAlignment="1">
      <alignment vertical="center"/>
    </xf>
    <xf numFmtId="0" fontId="8" fillId="0" borderId="0" xfId="0" applyFont="1" applyBorder="1" applyAlignment="1">
      <alignment vertical="center"/>
    </xf>
    <xf numFmtId="0" fontId="1" fillId="2" borderId="0" xfId="0" applyFont="1" applyFill="1" applyAlignment="1">
      <alignment horizontal="center" vertical="center"/>
    </xf>
    <xf numFmtId="0" fontId="0" fillId="0" borderId="0" xfId="0" applyAlignment="1">
      <alignment horizontal="center"/>
    </xf>
    <xf numFmtId="49" fontId="0" fillId="0" borderId="0" xfId="0" applyNumberFormat="1"/>
    <xf numFmtId="0" fontId="8" fillId="15" borderId="20" xfId="0" applyNumberFormat="1" applyFont="1" applyFill="1" applyBorder="1" applyAlignment="1">
      <alignment vertical="top" wrapText="1"/>
    </xf>
    <xf numFmtId="0" fontId="8" fillId="0" borderId="0" xfId="0" applyFont="1" applyAlignment="1">
      <alignment vertical="center" wrapText="1"/>
    </xf>
    <xf numFmtId="0" fontId="9" fillId="2" borderId="20" xfId="0" applyFont="1" applyFill="1" applyBorder="1" applyAlignment="1">
      <alignment vertical="center" wrapText="1"/>
    </xf>
    <xf numFmtId="0" fontId="13" fillId="0" borderId="20" xfId="0" applyFont="1" applyBorder="1" applyAlignment="1">
      <alignment vertical="center"/>
    </xf>
    <xf numFmtId="0" fontId="13" fillId="0" borderId="20" xfId="0" applyFont="1" applyBorder="1" applyAlignment="1">
      <alignment vertical="center" wrapText="1"/>
    </xf>
    <xf numFmtId="0" fontId="13" fillId="0" borderId="20" xfId="0" applyFont="1" applyFill="1" applyBorder="1" applyAlignment="1">
      <alignment vertical="center"/>
    </xf>
    <xf numFmtId="0" fontId="13" fillId="15" borderId="20" xfId="0" applyFont="1" applyFill="1" applyBorder="1" applyAlignment="1">
      <alignment vertical="center"/>
    </xf>
    <xf numFmtId="0" fontId="8" fillId="15" borderId="20" xfId="0" applyFont="1" applyFill="1" applyBorder="1" applyAlignment="1">
      <alignment horizontal="left" vertical="top" wrapText="1"/>
    </xf>
    <xf numFmtId="0" fontId="8" fillId="10" borderId="20" xfId="0" applyFont="1" applyFill="1" applyBorder="1" applyAlignment="1">
      <alignment vertical="center"/>
    </xf>
    <xf numFmtId="0" fontId="13" fillId="10" borderId="20" xfId="0" applyFont="1" applyFill="1" applyBorder="1" applyAlignment="1">
      <alignment vertical="center"/>
    </xf>
    <xf numFmtId="0" fontId="0" fillId="0" borderId="0" xfId="0" applyAlignment="1">
      <alignment vertical="center"/>
    </xf>
    <xf numFmtId="0" fontId="0" fillId="14" borderId="0" xfId="0" applyFill="1"/>
    <xf numFmtId="0" fontId="0" fillId="14" borderId="0" xfId="0" applyFill="1" applyAlignment="1">
      <alignment horizontal="center"/>
    </xf>
    <xf numFmtId="0" fontId="0" fillId="19" borderId="0" xfId="0" applyFill="1" applyAlignment="1">
      <alignment horizontal="center"/>
    </xf>
    <xf numFmtId="0" fontId="0" fillId="29" borderId="0" xfId="0" applyFill="1" applyAlignment="1">
      <alignment horizontal="center"/>
    </xf>
    <xf numFmtId="0" fontId="17" fillId="8" borderId="0" xfId="0" applyFont="1" applyFill="1" applyAlignment="1">
      <alignment horizontal="center" vertical="center"/>
    </xf>
    <xf numFmtId="0" fontId="16" fillId="8" borderId="0" xfId="0" applyFont="1" applyFill="1" applyAlignment="1">
      <alignment horizontal="center" vertical="center"/>
    </xf>
    <xf numFmtId="0" fontId="16" fillId="8" borderId="0" xfId="0" applyFont="1" applyFill="1" applyAlignment="1">
      <alignment horizontal="center" vertical="center" wrapText="1"/>
    </xf>
    <xf numFmtId="0" fontId="0" fillId="10" borderId="0" xfId="0" applyFill="1"/>
    <xf numFmtId="0" fontId="17" fillId="10" borderId="0" xfId="0" applyFont="1" applyFill="1" applyAlignment="1">
      <alignment horizontal="center" vertical="center"/>
    </xf>
    <xf numFmtId="0" fontId="0" fillId="10" borderId="0" xfId="0" applyFill="1" applyAlignment="1">
      <alignment vertical="center"/>
    </xf>
    <xf numFmtId="0" fontId="0" fillId="10" borderId="0" xfId="0" applyFill="1" applyAlignment="1">
      <alignment horizontal="center"/>
    </xf>
    <xf numFmtId="0" fontId="19" fillId="2" borderId="20" xfId="0" applyFont="1" applyFill="1" applyBorder="1" applyAlignment="1">
      <alignment horizontal="center" vertical="center"/>
    </xf>
    <xf numFmtId="0" fontId="13" fillId="15" borderId="20" xfId="0" applyFont="1" applyFill="1" applyBorder="1" applyAlignment="1">
      <alignment vertical="top" wrapText="1"/>
    </xf>
    <xf numFmtId="0" fontId="0" fillId="24" borderId="0" xfId="0" applyFill="1" applyAlignment="1">
      <alignment horizontal="center" vertical="center" wrapText="1"/>
    </xf>
    <xf numFmtId="0" fontId="0" fillId="10" borderId="0" xfId="0" applyFill="1" applyBorder="1" applyAlignment="1">
      <alignment horizontal="center"/>
    </xf>
    <xf numFmtId="0" fontId="0" fillId="10" borderId="0" xfId="0" applyFill="1" applyBorder="1" applyAlignment="1">
      <alignment horizontal="center" vertical="center"/>
    </xf>
    <xf numFmtId="0" fontId="9" fillId="2" borderId="19" xfId="0" applyFont="1" applyFill="1" applyBorder="1" applyAlignment="1">
      <alignment horizontal="center" vertical="center"/>
    </xf>
    <xf numFmtId="0" fontId="8" fillId="31" borderId="20" xfId="0" applyFont="1" applyFill="1" applyBorder="1" applyAlignment="1">
      <alignment vertical="center" wrapText="1"/>
    </xf>
    <xf numFmtId="0" fontId="8" fillId="31" borderId="20" xfId="0" applyFont="1" applyFill="1" applyBorder="1" applyAlignment="1">
      <alignment vertical="top" wrapText="1"/>
    </xf>
    <xf numFmtId="0" fontId="0" fillId="10" borderId="0" xfId="0" applyFill="1" applyAlignment="1">
      <alignment horizontal="center" wrapText="1"/>
    </xf>
    <xf numFmtId="0" fontId="0" fillId="10" borderId="0" xfId="0" applyFill="1" applyBorder="1" applyAlignment="1">
      <alignment horizontal="center" wrapText="1"/>
    </xf>
    <xf numFmtId="0" fontId="0" fillId="10" borderId="0" xfId="0" applyFill="1" applyBorder="1" applyAlignment="1">
      <alignment horizontal="center" vertical="center" wrapText="1"/>
    </xf>
    <xf numFmtId="0" fontId="0" fillId="14" borderId="0" xfId="0" applyFill="1" applyAlignment="1">
      <alignment horizontal="center" wrapText="1"/>
    </xf>
    <xf numFmtId="0" fontId="0" fillId="0" borderId="0" xfId="0" applyAlignment="1">
      <alignment horizontal="center" wrapText="1"/>
    </xf>
    <xf numFmtId="0" fontId="0" fillId="19" borderId="0" xfId="0" applyFill="1" applyAlignment="1">
      <alignment horizontal="center" wrapText="1"/>
    </xf>
    <xf numFmtId="0" fontId="0" fillId="29" borderId="0" xfId="0" applyFill="1" applyAlignment="1">
      <alignment horizontal="center" wrapText="1"/>
    </xf>
    <xf numFmtId="2" fontId="0" fillId="10" borderId="0" xfId="0" applyNumberFormat="1" applyFill="1"/>
    <xf numFmtId="0" fontId="22" fillId="20" borderId="0" xfId="0" applyFont="1" applyFill="1"/>
    <xf numFmtId="2" fontId="23" fillId="20" borderId="0" xfId="0" applyNumberFormat="1" applyFont="1" applyFill="1" applyAlignment="1">
      <alignment horizontal="center"/>
    </xf>
    <xf numFmtId="0" fontId="23" fillId="20" borderId="0" xfId="0" applyFont="1" applyFill="1" applyAlignment="1">
      <alignment horizontal="center"/>
    </xf>
    <xf numFmtId="0" fontId="23" fillId="20" borderId="0" xfId="0" applyFont="1" applyFill="1" applyAlignment="1">
      <alignment horizontal="center" wrapText="1"/>
    </xf>
    <xf numFmtId="2" fontId="23" fillId="20" borderId="0" xfId="0" applyNumberFormat="1" applyFont="1" applyFill="1" applyAlignment="1">
      <alignment horizontal="center" wrapText="1"/>
    </xf>
    <xf numFmtId="180" fontId="23" fillId="3" borderId="0" xfId="0" applyNumberFormat="1" applyFont="1" applyFill="1" applyAlignment="1">
      <alignment horizontal="center"/>
    </xf>
    <xf numFmtId="0" fontId="23" fillId="3" borderId="0" xfId="0" applyFont="1" applyFill="1" applyAlignment="1">
      <alignment horizontal="center"/>
    </xf>
    <xf numFmtId="0" fontId="23" fillId="3" borderId="0" xfId="0" applyFont="1" applyFill="1" applyAlignment="1">
      <alignment horizontal="center" wrapText="1"/>
    </xf>
    <xf numFmtId="0" fontId="22" fillId="3" borderId="0" xfId="0" applyFont="1" applyFill="1"/>
    <xf numFmtId="0" fontId="1" fillId="10" borderId="0" xfId="0" applyFont="1" applyFill="1"/>
    <xf numFmtId="0" fontId="1" fillId="10" borderId="8" xfId="0" applyFont="1" applyFill="1" applyBorder="1"/>
    <xf numFmtId="0" fontId="1" fillId="10" borderId="6" xfId="0" applyFont="1" applyFill="1" applyBorder="1"/>
    <xf numFmtId="2" fontId="22" fillId="20" borderId="0" xfId="0" applyNumberFormat="1" applyFont="1" applyFill="1"/>
    <xf numFmtId="0" fontId="1" fillId="14" borderId="0" xfId="0" applyFont="1" applyFill="1"/>
    <xf numFmtId="0" fontId="1" fillId="19" borderId="0" xfId="0" applyFont="1" applyFill="1"/>
    <xf numFmtId="0" fontId="1" fillId="29" borderId="0" xfId="0" applyFont="1" applyFill="1"/>
    <xf numFmtId="0" fontId="23" fillId="14" borderId="0" xfId="0" applyFont="1" applyFill="1" applyAlignment="1">
      <alignment horizontal="center"/>
    </xf>
    <xf numFmtId="0" fontId="23" fillId="14" borderId="0" xfId="0" applyFont="1" applyFill="1" applyAlignment="1">
      <alignment horizontal="center" wrapText="1"/>
    </xf>
    <xf numFmtId="2" fontId="23" fillId="14" borderId="0" xfId="0" applyNumberFormat="1" applyFont="1" applyFill="1" applyAlignment="1">
      <alignment horizontal="center"/>
    </xf>
    <xf numFmtId="180" fontId="23" fillId="14" borderId="0" xfId="0" applyNumberFormat="1" applyFont="1" applyFill="1" applyAlignment="1">
      <alignment horizontal="center"/>
    </xf>
    <xf numFmtId="2" fontId="23" fillId="33" borderId="0" xfId="0" applyNumberFormat="1" applyFont="1" applyFill="1" applyAlignment="1">
      <alignment horizontal="center"/>
    </xf>
    <xf numFmtId="0" fontId="23" fillId="33" borderId="0" xfId="0" applyFont="1" applyFill="1" applyAlignment="1">
      <alignment horizontal="center"/>
    </xf>
    <xf numFmtId="0" fontId="23" fillId="33" borderId="0" xfId="0" applyFont="1" applyFill="1" applyAlignment="1">
      <alignment horizontal="center" wrapText="1"/>
    </xf>
    <xf numFmtId="0" fontId="22" fillId="33" borderId="0" xfId="0" applyFont="1" applyFill="1"/>
    <xf numFmtId="0" fontId="22" fillId="29" borderId="0" xfId="0" applyFont="1" applyFill="1"/>
    <xf numFmtId="0" fontId="23" fillId="29" borderId="0" xfId="0" applyFont="1" applyFill="1" applyAlignment="1">
      <alignment horizontal="center"/>
    </xf>
    <xf numFmtId="0" fontId="23" fillId="29" borderId="0" xfId="0" applyFont="1" applyFill="1" applyAlignment="1">
      <alignment horizontal="center" wrapText="1"/>
    </xf>
    <xf numFmtId="2" fontId="23" fillId="16" borderId="0" xfId="0" applyNumberFormat="1" applyFont="1" applyFill="1" applyAlignment="1">
      <alignment horizontal="center"/>
    </xf>
    <xf numFmtId="0" fontId="23" fillId="16" borderId="0" xfId="0" applyFont="1" applyFill="1" applyAlignment="1">
      <alignment horizontal="center"/>
    </xf>
    <xf numFmtId="0" fontId="23" fillId="16" borderId="0" xfId="0" applyFont="1" applyFill="1" applyAlignment="1">
      <alignment horizontal="center" wrapText="1"/>
    </xf>
    <xf numFmtId="0" fontId="0" fillId="0" borderId="0" xfId="0" applyFont="1"/>
    <xf numFmtId="0" fontId="0" fillId="2" borderId="0" xfId="0" applyFont="1" applyFill="1"/>
    <xf numFmtId="0" fontId="0" fillId="0" borderId="0" xfId="0" applyFont="1" applyFill="1"/>
    <xf numFmtId="0" fontId="0" fillId="0" borderId="0" xfId="0" applyFont="1" applyFill="1" applyBorder="1"/>
    <xf numFmtId="2" fontId="2" fillId="20" borderId="0" xfId="0" applyNumberFormat="1" applyFont="1" applyFill="1" applyAlignment="1">
      <alignment horizontal="center"/>
    </xf>
    <xf numFmtId="181" fontId="0" fillId="0" borderId="0" xfId="0" applyNumberFormat="1"/>
    <xf numFmtId="2" fontId="22" fillId="29" borderId="0" xfId="0" applyNumberFormat="1" applyFont="1" applyFill="1" applyAlignment="1">
      <alignment horizontal="center"/>
    </xf>
    <xf numFmtId="0" fontId="2" fillId="10" borderId="0" xfId="0" applyFont="1" applyFill="1"/>
    <xf numFmtId="0" fontId="28" fillId="0" borderId="20" xfId="0" applyFont="1" applyBorder="1" applyAlignment="1">
      <alignment vertical="center"/>
    </xf>
    <xf numFmtId="0" fontId="28" fillId="15" borderId="20" xfId="0" applyFont="1" applyFill="1" applyBorder="1" applyAlignment="1">
      <alignment vertical="center" wrapText="1"/>
    </xf>
    <xf numFmtId="0" fontId="28" fillId="0" borderId="20" xfId="0" applyFont="1" applyBorder="1" applyAlignment="1">
      <alignment horizontal="center" vertical="center"/>
    </xf>
    <xf numFmtId="2" fontId="22" fillId="10" borderId="0" xfId="0" applyNumberFormat="1" applyFont="1" applyFill="1" applyAlignment="1">
      <alignment horizontal="center"/>
    </xf>
    <xf numFmtId="0" fontId="23" fillId="10" borderId="0" xfId="0" applyFont="1" applyFill="1" applyAlignment="1">
      <alignment horizontal="center"/>
    </xf>
    <xf numFmtId="2" fontId="23" fillId="10" borderId="0" xfId="0" applyNumberFormat="1" applyFont="1" applyFill="1" applyAlignment="1">
      <alignment horizontal="center"/>
    </xf>
    <xf numFmtId="0" fontId="22" fillId="10" borderId="0" xfId="0" applyFont="1" applyFill="1" applyAlignment="1">
      <alignment horizontal="center"/>
    </xf>
    <xf numFmtId="2" fontId="27" fillId="10" borderId="0" xfId="0" applyNumberFormat="1" applyFont="1" applyFill="1" applyAlignment="1">
      <alignment horizontal="center"/>
    </xf>
    <xf numFmtId="2" fontId="26" fillId="10" borderId="0" xfId="0" applyNumberFormat="1" applyFont="1" applyFill="1" applyAlignment="1">
      <alignment horizontal="center"/>
    </xf>
    <xf numFmtId="17" fontId="2" fillId="10" borderId="0" xfId="0" applyNumberFormat="1" applyFont="1" applyFill="1"/>
    <xf numFmtId="0" fontId="2" fillId="10" borderId="0" xfId="0" quotePrefix="1" applyFont="1" applyFill="1"/>
    <xf numFmtId="2" fontId="27" fillId="10" borderId="0" xfId="0" quotePrefix="1" applyNumberFormat="1" applyFont="1" applyFill="1" applyAlignment="1">
      <alignment horizontal="center"/>
    </xf>
    <xf numFmtId="2" fontId="25" fillId="20" borderId="0" xfId="0" applyNumberFormat="1" applyFont="1" applyFill="1" applyAlignment="1">
      <alignment horizontal="center"/>
    </xf>
    <xf numFmtId="0" fontId="30" fillId="20" borderId="0" xfId="0" applyFont="1" applyFill="1"/>
    <xf numFmtId="0" fontId="31" fillId="20" borderId="0" xfId="0" applyFont="1" applyFill="1" applyAlignment="1">
      <alignment horizontal="center"/>
    </xf>
    <xf numFmtId="2" fontId="31" fillId="20" borderId="0" xfId="0" applyNumberFormat="1" applyFont="1" applyFill="1" applyAlignment="1">
      <alignment horizontal="center" wrapText="1"/>
    </xf>
    <xf numFmtId="0" fontId="30" fillId="14" borderId="0" xfId="0" applyFont="1" applyFill="1"/>
    <xf numFmtId="0" fontId="31" fillId="14" borderId="0" xfId="0" applyFont="1" applyFill="1" applyAlignment="1">
      <alignment horizontal="center"/>
    </xf>
    <xf numFmtId="0" fontId="31" fillId="14" borderId="0" xfId="0" applyFont="1" applyFill="1" applyAlignment="1">
      <alignment horizontal="center" wrapText="1"/>
    </xf>
    <xf numFmtId="0" fontId="30" fillId="14" borderId="0" xfId="0" applyFont="1" applyFill="1" applyAlignment="1">
      <alignment horizontal="center"/>
    </xf>
    <xf numFmtId="0" fontId="18" fillId="2" borderId="20" xfId="0" applyFont="1" applyFill="1" applyBorder="1" applyAlignment="1">
      <alignment vertical="center"/>
    </xf>
    <xf numFmtId="0" fontId="19" fillId="2" borderId="20" xfId="0" applyFont="1" applyFill="1" applyBorder="1" applyAlignment="1">
      <alignment vertical="center"/>
    </xf>
    <xf numFmtId="0" fontId="33" fillId="20" borderId="0" xfId="0" applyFont="1" applyFill="1"/>
    <xf numFmtId="2" fontId="34" fillId="20" borderId="0" xfId="0" applyNumberFormat="1" applyFont="1" applyFill="1" applyAlignment="1">
      <alignment horizontal="center"/>
    </xf>
    <xf numFmtId="0" fontId="34" fillId="20" borderId="0" xfId="0" applyFont="1" applyFill="1" applyAlignment="1">
      <alignment horizontal="center"/>
    </xf>
    <xf numFmtId="2" fontId="34" fillId="20" borderId="0" xfId="0" applyNumberFormat="1" applyFont="1" applyFill="1" applyAlignment="1">
      <alignment horizontal="center" wrapText="1"/>
    </xf>
    <xf numFmtId="0" fontId="34" fillId="20" borderId="0" xfId="0" applyFont="1" applyFill="1" applyAlignment="1">
      <alignment horizontal="center" wrapText="1"/>
    </xf>
    <xf numFmtId="17" fontId="34" fillId="10" borderId="0" xfId="0" applyNumberFormat="1" applyFont="1" applyFill="1"/>
    <xf numFmtId="0" fontId="33" fillId="11" borderId="0" xfId="0" applyFont="1" applyFill="1"/>
    <xf numFmtId="180" fontId="34" fillId="11" borderId="0" xfId="0" applyNumberFormat="1" applyFont="1" applyFill="1" applyAlignment="1">
      <alignment horizontal="center"/>
    </xf>
    <xf numFmtId="0" fontId="34" fillId="11" borderId="0" xfId="0" applyFont="1" applyFill="1" applyAlignment="1">
      <alignment horizontal="center"/>
    </xf>
    <xf numFmtId="0" fontId="34" fillId="11" borderId="0" xfId="0" applyFont="1" applyFill="1" applyAlignment="1">
      <alignment horizontal="center" wrapText="1"/>
    </xf>
    <xf numFmtId="0" fontId="33" fillId="16" borderId="0" xfId="0" applyFont="1" applyFill="1"/>
    <xf numFmtId="2" fontId="34" fillId="16" borderId="0" xfId="0" applyNumberFormat="1" applyFont="1" applyFill="1" applyAlignment="1">
      <alignment horizontal="center"/>
    </xf>
    <xf numFmtId="0" fontId="34" fillId="16" borderId="0" xfId="0" applyFont="1" applyFill="1" applyAlignment="1">
      <alignment horizontal="center"/>
    </xf>
    <xf numFmtId="0" fontId="34" fillId="16" borderId="0" xfId="0" applyFont="1" applyFill="1" applyAlignment="1">
      <alignment horizontal="center" wrapText="1"/>
    </xf>
    <xf numFmtId="2" fontId="33" fillId="16" borderId="0" xfId="0" applyNumberFormat="1" applyFont="1" applyFill="1" applyAlignment="1">
      <alignment horizontal="center"/>
    </xf>
    <xf numFmtId="2" fontId="34" fillId="27" borderId="0" xfId="0" applyNumberFormat="1" applyFont="1" applyFill="1" applyAlignment="1">
      <alignment horizontal="center"/>
    </xf>
    <xf numFmtId="0" fontId="34" fillId="27" borderId="0" xfId="0" applyFont="1" applyFill="1" applyAlignment="1">
      <alignment horizontal="center"/>
    </xf>
    <xf numFmtId="0" fontId="34" fillId="27" borderId="0" xfId="0" applyFont="1" applyFill="1" applyAlignment="1">
      <alignment horizontal="center" wrapText="1"/>
    </xf>
    <xf numFmtId="2" fontId="33" fillId="27" borderId="0" xfId="0" applyNumberFormat="1" applyFont="1" applyFill="1" applyAlignment="1">
      <alignment horizontal="center"/>
    </xf>
    <xf numFmtId="0" fontId="33" fillId="19" borderId="0" xfId="0" applyFont="1" applyFill="1"/>
    <xf numFmtId="2" fontId="34" fillId="19" borderId="0" xfId="0" applyNumberFormat="1" applyFont="1" applyFill="1" applyAlignment="1">
      <alignment horizontal="center"/>
    </xf>
    <xf numFmtId="0" fontId="34" fillId="19" borderId="0" xfId="0" applyFont="1" applyFill="1" applyAlignment="1">
      <alignment horizontal="center"/>
    </xf>
    <xf numFmtId="0" fontId="34" fillId="19" borderId="0" xfId="0" applyFont="1" applyFill="1" applyAlignment="1">
      <alignment horizontal="center" wrapText="1"/>
    </xf>
    <xf numFmtId="0" fontId="33" fillId="35" borderId="0" xfId="0" applyFont="1" applyFill="1"/>
    <xf numFmtId="2" fontId="34" fillId="35" borderId="0" xfId="0" applyNumberFormat="1" applyFont="1" applyFill="1" applyAlignment="1">
      <alignment horizontal="center"/>
    </xf>
    <xf numFmtId="0" fontId="34" fillId="35" borderId="0" xfId="0" applyFont="1" applyFill="1" applyAlignment="1">
      <alignment horizontal="center"/>
    </xf>
    <xf numFmtId="0" fontId="34" fillId="35" borderId="0" xfId="0" applyFont="1" applyFill="1" applyAlignment="1">
      <alignment horizontal="center" wrapText="1"/>
    </xf>
    <xf numFmtId="2" fontId="33" fillId="35" borderId="0" xfId="0" applyNumberFormat="1" applyFont="1" applyFill="1" applyAlignment="1">
      <alignment horizontal="center"/>
    </xf>
    <xf numFmtId="0" fontId="33" fillId="19" borderId="0" xfId="0" applyFont="1" applyFill="1" applyAlignment="1">
      <alignment horizontal="center"/>
    </xf>
    <xf numFmtId="0" fontId="33" fillId="3" borderId="0" xfId="0" applyFont="1" applyFill="1"/>
    <xf numFmtId="180" fontId="34" fillId="3" borderId="0" xfId="0" applyNumberFormat="1" applyFont="1" applyFill="1" applyAlignment="1">
      <alignment horizontal="center"/>
    </xf>
    <xf numFmtId="0" fontId="34" fillId="3" borderId="0" xfId="0" applyFont="1" applyFill="1" applyAlignment="1">
      <alignment horizontal="center"/>
    </xf>
    <xf numFmtId="0" fontId="34" fillId="3" borderId="0" xfId="0" applyFont="1" applyFill="1" applyAlignment="1">
      <alignment horizontal="center" wrapText="1"/>
    </xf>
    <xf numFmtId="0" fontId="33" fillId="14" borderId="0" xfId="0" applyFont="1" applyFill="1"/>
    <xf numFmtId="2" fontId="34" fillId="14" borderId="0" xfId="0" applyNumberFormat="1" applyFont="1" applyFill="1" applyAlignment="1">
      <alignment horizontal="center"/>
    </xf>
    <xf numFmtId="0" fontId="34" fillId="14" borderId="0" xfId="0" applyFont="1" applyFill="1" applyAlignment="1">
      <alignment horizontal="center"/>
    </xf>
    <xf numFmtId="0" fontId="34" fillId="14" borderId="0" xfId="0" applyFont="1" applyFill="1" applyAlignment="1">
      <alignment horizontal="center" wrapText="1"/>
    </xf>
    <xf numFmtId="2" fontId="33" fillId="14" borderId="0" xfId="0" applyNumberFormat="1" applyFont="1" applyFill="1" applyAlignment="1">
      <alignment horizontal="center"/>
    </xf>
    <xf numFmtId="2" fontId="33" fillId="20" borderId="0" xfId="0" applyNumberFormat="1" applyFont="1" applyFill="1" applyAlignment="1">
      <alignment horizontal="center"/>
    </xf>
    <xf numFmtId="2" fontId="35" fillId="20" borderId="0" xfId="0" applyNumberFormat="1" applyFont="1" applyFill="1" applyAlignment="1">
      <alignment horizontal="center"/>
    </xf>
    <xf numFmtId="0" fontId="36" fillId="10" borderId="0" xfId="0" quotePrefix="1" applyFont="1" applyFill="1"/>
    <xf numFmtId="180" fontId="34" fillId="14" borderId="0" xfId="0" applyNumberFormat="1" applyFont="1" applyFill="1" applyAlignment="1">
      <alignment horizontal="center"/>
    </xf>
    <xf numFmtId="0" fontId="33" fillId="33" borderId="0" xfId="0" applyFont="1" applyFill="1"/>
    <xf numFmtId="2" fontId="34" fillId="33" borderId="0" xfId="0" applyNumberFormat="1" applyFont="1" applyFill="1" applyAlignment="1">
      <alignment horizontal="center"/>
    </xf>
    <xf numFmtId="0" fontId="34" fillId="33" borderId="0" xfId="0" applyFont="1" applyFill="1" applyAlignment="1">
      <alignment horizontal="center"/>
    </xf>
    <xf numFmtId="0" fontId="34" fillId="33" borderId="0" xfId="0" applyFont="1" applyFill="1" applyAlignment="1">
      <alignment horizontal="center" wrapText="1"/>
    </xf>
    <xf numFmtId="2" fontId="33" fillId="33" borderId="0" xfId="0" applyNumberFormat="1" applyFont="1" applyFill="1" applyAlignment="1">
      <alignment horizontal="center"/>
    </xf>
    <xf numFmtId="0" fontId="34" fillId="10" borderId="0" xfId="0" applyFont="1" applyFill="1"/>
    <xf numFmtId="0" fontId="33" fillId="29" borderId="0" xfId="0" applyFont="1" applyFill="1"/>
    <xf numFmtId="2" fontId="33" fillId="29" borderId="0" xfId="0" applyNumberFormat="1" applyFont="1" applyFill="1" applyAlignment="1">
      <alignment horizontal="center"/>
    </xf>
    <xf numFmtId="0" fontId="33" fillId="29" borderId="0" xfId="0" applyFont="1" applyFill="1" applyAlignment="1">
      <alignment horizontal="center"/>
    </xf>
    <xf numFmtId="2" fontId="34" fillId="29" borderId="0" xfId="0" applyNumberFormat="1" applyFont="1" applyFill="1" applyAlignment="1">
      <alignment horizontal="center"/>
    </xf>
    <xf numFmtId="0" fontId="34" fillId="29" borderId="0" xfId="0" applyFont="1" applyFill="1" applyAlignment="1">
      <alignment horizontal="center"/>
    </xf>
    <xf numFmtId="0" fontId="34" fillId="29" borderId="0" xfId="0" applyFont="1" applyFill="1" applyAlignment="1">
      <alignment horizontal="center" wrapText="1"/>
    </xf>
    <xf numFmtId="0" fontId="34" fillId="14" borderId="0" xfId="0" applyFont="1" applyFill="1"/>
    <xf numFmtId="2" fontId="33" fillId="14" borderId="0" xfId="0" applyNumberFormat="1" applyFont="1" applyFill="1"/>
    <xf numFmtId="1" fontId="34" fillId="14" borderId="0" xfId="0" applyNumberFormat="1" applyFont="1" applyFill="1" applyAlignment="1">
      <alignment horizontal="center"/>
    </xf>
    <xf numFmtId="1" fontId="34" fillId="14" borderId="0" xfId="0" applyNumberFormat="1" applyFont="1" applyFill="1" applyAlignment="1">
      <alignment horizontal="center" wrapText="1"/>
    </xf>
    <xf numFmtId="0" fontId="42" fillId="9" borderId="0" xfId="0" applyFont="1" applyFill="1"/>
    <xf numFmtId="0" fontId="42" fillId="0" borderId="0" xfId="0" applyFont="1"/>
    <xf numFmtId="0" fontId="42" fillId="0" borderId="0" xfId="0" applyFont="1" applyFill="1"/>
    <xf numFmtId="0" fontId="42" fillId="10" borderId="0" xfId="0" applyFont="1" applyFill="1" applyBorder="1"/>
    <xf numFmtId="0" fontId="42" fillId="10" borderId="0" xfId="0" applyFont="1" applyFill="1" applyBorder="1" applyAlignment="1">
      <alignment horizontal="center" vertical="center"/>
    </xf>
    <xf numFmtId="0" fontId="42" fillId="9" borderId="0" xfId="0" applyFont="1" applyFill="1" applyAlignment="1">
      <alignment horizontal="center" vertical="center"/>
    </xf>
    <xf numFmtId="0" fontId="42" fillId="0" borderId="0" xfId="0" applyFont="1" applyFill="1" applyAlignment="1">
      <alignment horizontal="center" vertical="center"/>
    </xf>
    <xf numFmtId="0" fontId="42" fillId="10" borderId="0" xfId="0" applyFont="1" applyFill="1" applyBorder="1" applyAlignment="1">
      <alignment vertical="center"/>
    </xf>
    <xf numFmtId="0" fontId="42" fillId="4" borderId="0" xfId="0" applyFont="1" applyFill="1"/>
    <xf numFmtId="0" fontId="42" fillId="7" borderId="0" xfId="0" applyFont="1" applyFill="1"/>
    <xf numFmtId="9" fontId="0" fillId="10" borderId="0" xfId="0" applyNumberFormat="1" applyFill="1"/>
    <xf numFmtId="0" fontId="36" fillId="10" borderId="0" xfId="0" applyFont="1" applyFill="1" applyAlignment="1">
      <alignment horizontal="center" vertical="center" wrapText="1"/>
    </xf>
    <xf numFmtId="0" fontId="0" fillId="10" borderId="0" xfId="0" applyFill="1" applyAlignment="1">
      <alignment horizontal="center" vertical="center" wrapText="1"/>
    </xf>
    <xf numFmtId="0" fontId="55" fillId="10" borderId="0" xfId="0" applyFont="1" applyFill="1" applyBorder="1" applyAlignment="1">
      <alignment horizontal="center" vertical="center"/>
    </xf>
    <xf numFmtId="0" fontId="38" fillId="0" borderId="20" xfId="0" applyFont="1" applyBorder="1" applyAlignment="1" applyProtection="1">
      <alignment horizontal="center"/>
      <protection hidden="1"/>
    </xf>
    <xf numFmtId="2" fontId="38" fillId="0" borderId="20" xfId="0" applyNumberFormat="1" applyFont="1" applyBorder="1" applyAlignment="1" applyProtection="1">
      <alignment horizontal="center"/>
      <protection hidden="1"/>
    </xf>
    <xf numFmtId="164" fontId="38" fillId="0" borderId="20" xfId="3" applyFont="1" applyBorder="1" applyAlignment="1" applyProtection="1">
      <alignment horizontal="center"/>
      <protection hidden="1"/>
    </xf>
    <xf numFmtId="1" fontId="0" fillId="10" borderId="20" xfId="0" applyNumberFormat="1" applyFill="1" applyBorder="1" applyAlignment="1">
      <alignment horizontal="left"/>
    </xf>
    <xf numFmtId="1" fontId="4" fillId="10" borderId="20" xfId="0" applyNumberFormat="1" applyFont="1" applyFill="1" applyBorder="1"/>
    <xf numFmtId="1" fontId="4" fillId="0" borderId="20" xfId="0" applyNumberFormat="1" applyFont="1" applyBorder="1"/>
    <xf numFmtId="2" fontId="4" fillId="13" borderId="20" xfId="0" applyNumberFormat="1" applyFont="1" applyFill="1" applyBorder="1" applyAlignment="1">
      <alignment horizontal="center"/>
    </xf>
    <xf numFmtId="2" fontId="0" fillId="13" borderId="20" xfId="0" applyNumberFormat="1" applyFill="1" applyBorder="1" applyAlignment="1">
      <alignment horizontal="center"/>
    </xf>
    <xf numFmtId="0" fontId="38" fillId="0" borderId="20" xfId="0" applyFont="1" applyBorder="1" applyAlignment="1" applyProtection="1">
      <alignment horizontal="center"/>
      <protection locked="0"/>
    </xf>
    <xf numFmtId="0" fontId="23" fillId="17" borderId="0" xfId="0" applyFont="1" applyFill="1" applyAlignment="1">
      <alignment horizontal="center" vertical="center"/>
    </xf>
    <xf numFmtId="0" fontId="0" fillId="24" borderId="0" xfId="0" applyFill="1" applyAlignment="1">
      <alignment horizontal="center" vertical="center" wrapText="1"/>
    </xf>
    <xf numFmtId="0" fontId="0" fillId="19" borderId="0" xfId="0" applyFill="1" applyAlignment="1">
      <alignment horizontal="center" vertical="center"/>
    </xf>
    <xf numFmtId="170" fontId="38" fillId="0" borderId="20" xfId="3" applyNumberFormat="1" applyFont="1" applyBorder="1" applyAlignment="1" applyProtection="1">
      <alignment horizontal="center"/>
      <protection hidden="1"/>
    </xf>
    <xf numFmtId="0" fontId="38" fillId="10" borderId="0" xfId="0" applyFont="1" applyFill="1" applyProtection="1">
      <protection locked="0"/>
    </xf>
    <xf numFmtId="0" fontId="39" fillId="10" borderId="0" xfId="0" applyFont="1" applyFill="1" applyProtection="1">
      <protection locked="0"/>
    </xf>
    <xf numFmtId="0" fontId="38" fillId="10" borderId="0" xfId="0" applyFont="1" applyFill="1" applyAlignment="1" applyProtection="1">
      <alignment horizontal="center"/>
      <protection locked="0"/>
    </xf>
    <xf numFmtId="2" fontId="38" fillId="10" borderId="0" xfId="0" applyNumberFormat="1" applyFont="1" applyFill="1" applyAlignment="1" applyProtection="1">
      <alignment horizontal="center"/>
      <protection locked="0"/>
    </xf>
    <xf numFmtId="0" fontId="38" fillId="10" borderId="0" xfId="0" applyFont="1" applyFill="1" applyAlignment="1" applyProtection="1">
      <alignment horizontal="right"/>
      <protection locked="0"/>
    </xf>
    <xf numFmtId="0" fontId="38" fillId="9" borderId="0" xfId="0" applyFont="1" applyFill="1" applyProtection="1">
      <protection locked="0"/>
    </xf>
    <xf numFmtId="0" fontId="38" fillId="9" borderId="0" xfId="0" applyFont="1" applyFill="1" applyAlignment="1" applyProtection="1">
      <alignment horizontal="center"/>
      <protection locked="0"/>
    </xf>
    <xf numFmtId="0" fontId="41" fillId="8" borderId="17" xfId="0" applyFont="1" applyFill="1" applyBorder="1" applyProtection="1">
      <protection locked="0"/>
    </xf>
    <xf numFmtId="0" fontId="38" fillId="10" borderId="0" xfId="0" applyFont="1" applyFill="1" applyAlignment="1" applyProtection="1">
      <alignment horizontal="left"/>
      <protection locked="0"/>
    </xf>
    <xf numFmtId="2" fontId="38" fillId="10" borderId="0" xfId="0" applyNumberFormat="1" applyFont="1" applyFill="1" applyAlignment="1" applyProtection="1">
      <alignment horizontal="left"/>
      <protection locked="0"/>
    </xf>
    <xf numFmtId="0" fontId="42" fillId="13" borderId="0" xfId="0" applyFont="1" applyFill="1" applyProtection="1">
      <protection locked="0"/>
    </xf>
    <xf numFmtId="0" fontId="42" fillId="13" borderId="0" xfId="0" applyFont="1" applyFill="1" applyAlignment="1" applyProtection="1">
      <alignment wrapText="1"/>
      <protection locked="0"/>
    </xf>
    <xf numFmtId="0" fontId="43" fillId="13" borderId="0" xfId="0" applyFont="1" applyFill="1" applyProtection="1">
      <protection locked="0"/>
    </xf>
    <xf numFmtId="0" fontId="44" fillId="13" borderId="0" xfId="0" applyFont="1" applyFill="1" applyProtection="1">
      <protection locked="0"/>
    </xf>
    <xf numFmtId="0" fontId="41" fillId="8" borderId="0" xfId="0" applyFont="1" applyFill="1" applyProtection="1">
      <protection locked="0"/>
    </xf>
    <xf numFmtId="0" fontId="38" fillId="10" borderId="0" xfId="0" applyFont="1" applyFill="1" applyBorder="1" applyAlignment="1" applyProtection="1">
      <alignment horizontal="left"/>
      <protection locked="0"/>
    </xf>
    <xf numFmtId="0" fontId="38" fillId="10" borderId="0" xfId="0" applyFont="1" applyFill="1" applyBorder="1" applyAlignment="1" applyProtection="1">
      <protection locked="0"/>
    </xf>
    <xf numFmtId="0" fontId="41" fillId="10" borderId="0" xfId="0" applyFont="1" applyFill="1" applyBorder="1" applyProtection="1">
      <protection locked="0"/>
    </xf>
    <xf numFmtId="0" fontId="38" fillId="10" borderId="0" xfId="0" applyFont="1" applyFill="1" applyBorder="1" applyProtection="1">
      <protection locked="0"/>
    </xf>
    <xf numFmtId="2" fontId="38" fillId="10" borderId="0" xfId="0" applyNumberFormat="1" applyFont="1" applyFill="1" applyBorder="1" applyAlignment="1" applyProtection="1">
      <protection locked="0"/>
    </xf>
    <xf numFmtId="0" fontId="46" fillId="13" borderId="0" xfId="0" applyFont="1" applyFill="1" applyAlignment="1" applyProtection="1">
      <alignment wrapText="1"/>
      <protection locked="0"/>
    </xf>
    <xf numFmtId="0" fontId="47" fillId="10" borderId="0" xfId="0" applyFont="1" applyFill="1" applyAlignment="1" applyProtection="1">
      <alignment horizontal="center" vertical="center"/>
      <protection locked="0"/>
    </xf>
    <xf numFmtId="0" fontId="47" fillId="10" borderId="0" xfId="0" applyFont="1" applyFill="1" applyAlignment="1" applyProtection="1">
      <alignment horizontal="right" vertical="center"/>
      <protection locked="0"/>
    </xf>
    <xf numFmtId="0" fontId="45" fillId="13" borderId="0" xfId="0" applyFont="1" applyFill="1" applyAlignment="1" applyProtection="1">
      <alignment horizontal="left" vertical="top" wrapText="1"/>
      <protection locked="0"/>
    </xf>
    <xf numFmtId="0" fontId="38" fillId="37" borderId="0" xfId="0" applyFont="1" applyFill="1" applyProtection="1">
      <protection locked="0"/>
    </xf>
    <xf numFmtId="0" fontId="51" fillId="10" borderId="0" xfId="0" applyFont="1" applyFill="1" applyAlignment="1" applyProtection="1">
      <alignment horizontal="center"/>
      <protection locked="0"/>
    </xf>
    <xf numFmtId="0" fontId="48" fillId="10" borderId="0" xfId="0" applyFont="1" applyFill="1" applyAlignment="1" applyProtection="1">
      <alignment horizontal="left" vertical="center"/>
      <protection locked="0"/>
    </xf>
    <xf numFmtId="0" fontId="51" fillId="37" borderId="0" xfId="0" applyFont="1" applyFill="1" applyProtection="1">
      <protection locked="0"/>
    </xf>
    <xf numFmtId="0" fontId="49" fillId="10" borderId="0" xfId="0" applyFont="1" applyFill="1" applyProtection="1">
      <protection locked="0"/>
    </xf>
    <xf numFmtId="0" fontId="50" fillId="10" borderId="0" xfId="0" applyFont="1" applyFill="1" applyProtection="1">
      <protection locked="0"/>
    </xf>
    <xf numFmtId="0" fontId="38" fillId="10" borderId="0" xfId="0" applyFont="1" applyFill="1" applyBorder="1" applyAlignment="1" applyProtection="1">
      <alignment horizontal="center"/>
      <protection locked="0"/>
    </xf>
    <xf numFmtId="0" fontId="38" fillId="9" borderId="0" xfId="0" applyFont="1" applyFill="1" applyBorder="1" applyProtection="1">
      <protection locked="0"/>
    </xf>
    <xf numFmtId="0" fontId="39" fillId="0" borderId="0" xfId="0" applyFont="1" applyAlignment="1" applyProtection="1">
      <alignment vertical="top"/>
      <protection locked="0"/>
    </xf>
    <xf numFmtId="0" fontId="45" fillId="13" borderId="0" xfId="0" applyFont="1" applyFill="1" applyProtection="1">
      <protection locked="0"/>
    </xf>
    <xf numFmtId="0" fontId="38" fillId="10" borderId="20" xfId="0" applyFont="1" applyFill="1" applyBorder="1" applyProtection="1">
      <protection locked="0"/>
    </xf>
    <xf numFmtId="0" fontId="38" fillId="2" borderId="0" xfId="0" applyFont="1" applyFill="1" applyBorder="1" applyAlignment="1" applyProtection="1">
      <alignment horizontal="center"/>
      <protection locked="0"/>
    </xf>
    <xf numFmtId="0" fontId="38" fillId="10" borderId="18" xfId="0" applyFont="1" applyFill="1" applyBorder="1" applyProtection="1">
      <protection locked="0"/>
    </xf>
    <xf numFmtId="2" fontId="51" fillId="4" borderId="0" xfId="0" applyNumberFormat="1" applyFont="1" applyFill="1" applyBorder="1" applyAlignment="1" applyProtection="1">
      <alignment horizontal="center" vertical="center" wrapText="1"/>
      <protection locked="0"/>
    </xf>
    <xf numFmtId="0" fontId="38" fillId="9" borderId="0" xfId="0" applyFont="1" applyFill="1" applyAlignment="1" applyProtection="1">
      <alignment vertical="center" wrapText="1"/>
      <protection locked="0"/>
    </xf>
    <xf numFmtId="0" fontId="38" fillId="9" borderId="0" xfId="0" applyFont="1" applyFill="1" applyAlignment="1" applyProtection="1">
      <alignment vertical="center"/>
      <protection locked="0"/>
    </xf>
    <xf numFmtId="0" fontId="38" fillId="10" borderId="0" xfId="0" applyFont="1" applyFill="1" applyAlignment="1" applyProtection="1">
      <alignment horizontal="center" vertical="center"/>
      <protection locked="0"/>
    </xf>
    <xf numFmtId="2" fontId="38" fillId="4" borderId="20" xfId="0" applyNumberFormat="1" applyFont="1" applyFill="1" applyBorder="1" applyAlignment="1" applyProtection="1">
      <alignment horizontal="center" vertical="center" wrapText="1"/>
      <protection locked="0"/>
    </xf>
    <xf numFmtId="0" fontId="38" fillId="4" borderId="20" xfId="0" applyFont="1" applyFill="1" applyBorder="1" applyAlignment="1" applyProtection="1">
      <alignment horizontal="center" vertical="center"/>
      <protection locked="0"/>
    </xf>
    <xf numFmtId="49" fontId="38" fillId="4" borderId="20"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54" fillId="0" borderId="0" xfId="0" applyFont="1" applyProtection="1">
      <protection locked="0"/>
    </xf>
    <xf numFmtId="0" fontId="38" fillId="9" borderId="0" xfId="0" applyFont="1" applyFill="1" applyBorder="1" applyAlignment="1" applyProtection="1">
      <alignment vertical="center" wrapText="1"/>
      <protection locked="0"/>
    </xf>
    <xf numFmtId="0" fontId="51" fillId="31" borderId="20" xfId="0" applyFont="1" applyFill="1" applyBorder="1" applyProtection="1">
      <protection locked="0"/>
    </xf>
    <xf numFmtId="2" fontId="38" fillId="0" borderId="20" xfId="0" applyNumberFormat="1" applyFont="1" applyBorder="1" applyAlignment="1" applyProtection="1">
      <alignment horizontal="center"/>
      <protection locked="0"/>
    </xf>
    <xf numFmtId="9" fontId="38" fillId="3" borderId="20" xfId="4" applyFont="1" applyFill="1" applyBorder="1" applyAlignment="1" applyProtection="1">
      <alignment horizontal="center"/>
      <protection locked="0"/>
    </xf>
    <xf numFmtId="168" fontId="51" fillId="6" borderId="20" xfId="0" applyNumberFormat="1" applyFont="1" applyFill="1" applyBorder="1" applyAlignment="1" applyProtection="1">
      <alignment horizontal="right"/>
      <protection locked="0"/>
    </xf>
    <xf numFmtId="0" fontId="39" fillId="0" borderId="0" xfId="0" applyFont="1" applyProtection="1">
      <protection locked="0"/>
    </xf>
    <xf numFmtId="0" fontId="45" fillId="10" borderId="0" xfId="0" applyFont="1" applyFill="1" applyBorder="1" applyAlignment="1" applyProtection="1">
      <alignment horizontal="left" vertical="top"/>
      <protection locked="0"/>
    </xf>
    <xf numFmtId="2" fontId="38" fillId="10" borderId="0" xfId="0" applyNumberFormat="1" applyFont="1" applyFill="1" applyBorder="1" applyAlignment="1" applyProtection="1">
      <alignment horizontal="center"/>
      <protection locked="0"/>
    </xf>
    <xf numFmtId="2" fontId="38" fillId="0" borderId="0" xfId="0" applyNumberFormat="1" applyFont="1" applyBorder="1" applyAlignment="1" applyProtection="1">
      <alignment horizontal="center"/>
      <protection locked="0"/>
    </xf>
    <xf numFmtId="9" fontId="38" fillId="10" borderId="0" xfId="4" applyFont="1" applyFill="1" applyBorder="1" applyAlignment="1" applyProtection="1">
      <alignment horizontal="center"/>
      <protection locked="0"/>
    </xf>
    <xf numFmtId="164" fontId="38" fillId="10" borderId="0" xfId="3" applyFont="1" applyFill="1" applyBorder="1" applyAlignment="1" applyProtection="1">
      <alignment horizontal="center"/>
      <protection locked="0"/>
    </xf>
    <xf numFmtId="165" fontId="51" fillId="10" borderId="0" xfId="0" applyNumberFormat="1" applyFont="1" applyFill="1" applyBorder="1" applyAlignment="1" applyProtection="1">
      <alignment horizontal="right"/>
      <protection locked="0"/>
    </xf>
    <xf numFmtId="9" fontId="38" fillId="10" borderId="0" xfId="4" applyFont="1" applyFill="1" applyAlignment="1" applyProtection="1">
      <alignment horizontal="center"/>
      <protection locked="0"/>
    </xf>
    <xf numFmtId="164" fontId="38" fillId="10" borderId="0" xfId="3" applyFont="1" applyFill="1" applyAlignment="1" applyProtection="1">
      <alignment horizontal="center"/>
      <protection locked="0"/>
    </xf>
    <xf numFmtId="165" fontId="38" fillId="10" borderId="0" xfId="0" applyNumberFormat="1" applyFont="1" applyFill="1" applyAlignment="1" applyProtection="1">
      <alignment horizontal="right"/>
      <protection locked="0"/>
    </xf>
    <xf numFmtId="0" fontId="38" fillId="30" borderId="0" xfId="0" applyFont="1" applyFill="1" applyBorder="1" applyProtection="1">
      <protection locked="0"/>
    </xf>
    <xf numFmtId="164" fontId="38" fillId="0" borderId="20" xfId="3" applyFont="1" applyBorder="1" applyAlignment="1" applyProtection="1">
      <alignment horizontal="center"/>
      <protection locked="0"/>
    </xf>
    <xf numFmtId="0" fontId="42" fillId="9" borderId="0" xfId="0" applyFont="1" applyFill="1" applyProtection="1">
      <protection locked="0"/>
    </xf>
    <xf numFmtId="0" fontId="41" fillId="30" borderId="0" xfId="0" applyFont="1" applyFill="1" applyBorder="1" applyProtection="1">
      <protection locked="0"/>
    </xf>
    <xf numFmtId="0" fontId="38" fillId="30" borderId="0" xfId="0" applyFont="1" applyFill="1" applyBorder="1" applyAlignment="1" applyProtection="1">
      <protection locked="0"/>
    </xf>
    <xf numFmtId="0" fontId="51" fillId="31" borderId="20" xfId="0" applyFont="1" applyFill="1" applyBorder="1" applyAlignment="1" applyProtection="1">
      <alignment horizontal="left" vertical="center"/>
      <protection locked="0"/>
    </xf>
    <xf numFmtId="0" fontId="38" fillId="9" borderId="0" xfId="0" applyFont="1" applyFill="1" applyBorder="1" applyAlignment="1" applyProtection="1">
      <alignment horizontal="center"/>
      <protection locked="0"/>
    </xf>
    <xf numFmtId="0" fontId="45" fillId="9" borderId="0" xfId="0" applyFont="1" applyFill="1" applyAlignment="1" applyProtection="1">
      <alignment wrapText="1"/>
      <protection locked="0"/>
    </xf>
    <xf numFmtId="0" fontId="52" fillId="10" borderId="0" xfId="0" applyFont="1" applyFill="1" applyAlignment="1" applyProtection="1">
      <alignment vertical="center"/>
      <protection locked="0"/>
    </xf>
    <xf numFmtId="0" fontId="52" fillId="10" borderId="0" xfId="0" applyFont="1" applyFill="1" applyAlignment="1" applyProtection="1">
      <alignment horizontal="center" vertical="center"/>
      <protection locked="0"/>
    </xf>
    <xf numFmtId="168" fontId="57" fillId="2" borderId="1" xfId="0" applyNumberFormat="1" applyFont="1" applyFill="1" applyBorder="1" applyAlignment="1" applyProtection="1">
      <alignment horizontal="right" vertical="center"/>
      <protection locked="0"/>
    </xf>
    <xf numFmtId="0" fontId="52" fillId="9" borderId="0" xfId="0" applyFont="1" applyFill="1" applyAlignment="1" applyProtection="1">
      <alignment vertical="center"/>
      <protection locked="0"/>
    </xf>
    <xf numFmtId="0" fontId="52" fillId="9" borderId="0" xfId="0" applyFont="1" applyFill="1" applyAlignment="1" applyProtection="1">
      <alignment vertical="center" wrapText="1"/>
      <protection locked="0"/>
    </xf>
    <xf numFmtId="0" fontId="52" fillId="9" borderId="0" xfId="0" applyFont="1" applyFill="1" applyAlignment="1" applyProtection="1">
      <alignment horizontal="center" vertical="center"/>
      <protection locked="0"/>
    </xf>
    <xf numFmtId="0" fontId="4" fillId="10" borderId="0" xfId="0" applyFont="1" applyFill="1" applyProtection="1">
      <protection locked="0"/>
    </xf>
    <xf numFmtId="0" fontId="4" fillId="10" borderId="0" xfId="0" applyFont="1" applyFill="1" applyBorder="1" applyAlignment="1" applyProtection="1">
      <alignment horizontal="center"/>
      <protection locked="0"/>
    </xf>
    <xf numFmtId="0" fontId="4" fillId="10" borderId="0" xfId="0" applyFont="1" applyFill="1" applyBorder="1" applyAlignment="1" applyProtection="1">
      <alignment horizontal="right"/>
      <protection locked="0"/>
    </xf>
    <xf numFmtId="0" fontId="53" fillId="10" borderId="0" xfId="0" applyFont="1" applyFill="1" applyBorder="1" applyAlignment="1" applyProtection="1">
      <alignment horizontal="center"/>
      <protection locked="0"/>
    </xf>
    <xf numFmtId="168" fontId="4" fillId="10" borderId="0" xfId="0" applyNumberFormat="1" applyFont="1" applyFill="1" applyBorder="1" applyAlignment="1" applyProtection="1">
      <alignment horizontal="right"/>
      <protection locked="0"/>
    </xf>
    <xf numFmtId="0" fontId="4" fillId="10" borderId="29" xfId="0" applyFont="1" applyFill="1" applyBorder="1" applyAlignment="1" applyProtection="1">
      <alignment horizontal="center"/>
      <protection locked="0"/>
    </xf>
    <xf numFmtId="0" fontId="4" fillId="10" borderId="29" xfId="0" applyFont="1" applyFill="1" applyBorder="1" applyAlignment="1" applyProtection="1">
      <alignment horizontal="right"/>
      <protection locked="0"/>
    </xf>
    <xf numFmtId="0" fontId="45" fillId="13" borderId="0" xfId="0" applyFont="1" applyFill="1" applyAlignment="1" applyProtection="1">
      <alignment wrapText="1"/>
      <protection locked="0"/>
    </xf>
    <xf numFmtId="0" fontId="45" fillId="13" borderId="0" xfId="0" applyFont="1" applyFill="1" applyAlignment="1" applyProtection="1">
      <alignment vertical="top" wrapText="1"/>
      <protection locked="0"/>
    </xf>
    <xf numFmtId="0" fontId="38" fillId="30" borderId="0" xfId="0" applyFont="1" applyFill="1" applyProtection="1">
      <protection locked="0"/>
    </xf>
    <xf numFmtId="0" fontId="39" fillId="0" borderId="0" xfId="0" applyFont="1" applyAlignment="1" applyProtection="1">
      <alignment vertical="center"/>
      <protection locked="0"/>
    </xf>
    <xf numFmtId="0" fontId="38" fillId="9" borderId="28" xfId="0" applyFont="1" applyFill="1" applyBorder="1" applyProtection="1">
      <protection locked="0"/>
    </xf>
    <xf numFmtId="9" fontId="38" fillId="3" borderId="23" xfId="4" applyFont="1" applyFill="1" applyBorder="1" applyAlignment="1" applyProtection="1">
      <alignment horizontal="center"/>
      <protection locked="0"/>
    </xf>
    <xf numFmtId="0" fontId="38" fillId="10" borderId="0" xfId="0" applyFont="1" applyFill="1" applyAlignment="1" applyProtection="1">
      <protection locked="0"/>
    </xf>
    <xf numFmtId="164" fontId="53" fillId="10" borderId="0" xfId="3" applyFont="1" applyFill="1" applyBorder="1" applyAlignment="1" applyProtection="1">
      <alignment horizontal="center"/>
      <protection locked="0"/>
    </xf>
    <xf numFmtId="9" fontId="53" fillId="10" borderId="0" xfId="4" applyFont="1" applyFill="1" applyBorder="1" applyAlignment="1" applyProtection="1">
      <alignment horizontal="center"/>
      <protection locked="0"/>
    </xf>
    <xf numFmtId="0" fontId="38" fillId="5" borderId="0" xfId="0" applyFont="1" applyFill="1" applyProtection="1">
      <protection locked="0"/>
    </xf>
    <xf numFmtId="0" fontId="50" fillId="5" borderId="0" xfId="0" applyFont="1" applyFill="1" applyProtection="1">
      <protection locked="0"/>
    </xf>
    <xf numFmtId="0" fontId="38" fillId="5" borderId="0" xfId="0" applyFont="1" applyFill="1" applyAlignment="1" applyProtection="1">
      <alignment horizontal="center"/>
      <protection locked="0"/>
    </xf>
    <xf numFmtId="2" fontId="38" fillId="5" borderId="0" xfId="0" applyNumberFormat="1" applyFont="1" applyFill="1" applyAlignment="1" applyProtection="1">
      <alignment horizontal="center"/>
      <protection locked="0"/>
    </xf>
    <xf numFmtId="164" fontId="38" fillId="5" borderId="0" xfId="3" applyFont="1" applyFill="1" applyAlignment="1" applyProtection="1">
      <alignment horizontal="center"/>
      <protection locked="0"/>
    </xf>
    <xf numFmtId="9" fontId="38" fillId="5" borderId="0" xfId="4" applyFont="1" applyFill="1" applyAlignment="1" applyProtection="1">
      <alignment horizontal="center"/>
      <protection locked="0"/>
    </xf>
    <xf numFmtId="165" fontId="38" fillId="5" borderId="0" xfId="0" applyNumberFormat="1" applyFont="1" applyFill="1" applyAlignment="1" applyProtection="1">
      <alignment horizontal="right"/>
      <protection locked="0"/>
    </xf>
    <xf numFmtId="0" fontId="51" fillId="5" borderId="20" xfId="0" applyFont="1" applyFill="1" applyBorder="1" applyProtection="1">
      <protection locked="0"/>
    </xf>
    <xf numFmtId="0" fontId="38" fillId="5" borderId="20" xfId="0" applyFont="1" applyFill="1" applyBorder="1" applyAlignment="1" applyProtection="1">
      <alignment horizontal="center"/>
      <protection locked="0"/>
    </xf>
    <xf numFmtId="2" fontId="38" fillId="5" borderId="20" xfId="0" applyNumberFormat="1" applyFont="1" applyFill="1" applyBorder="1" applyAlignment="1" applyProtection="1">
      <alignment horizontal="center"/>
      <protection locked="0"/>
    </xf>
    <xf numFmtId="164" fontId="38" fillId="5" borderId="20" xfId="3" applyFont="1" applyFill="1" applyBorder="1" applyAlignment="1" applyProtection="1">
      <alignment horizontal="center"/>
      <protection locked="0"/>
    </xf>
    <xf numFmtId="9" fontId="38" fillId="5" borderId="20" xfId="4" applyFont="1" applyFill="1" applyBorder="1" applyAlignment="1" applyProtection="1">
      <alignment horizontal="center"/>
      <protection locked="0"/>
    </xf>
    <xf numFmtId="166" fontId="51" fillId="5" borderId="20" xfId="0" applyNumberFormat="1" applyFont="1" applyFill="1" applyBorder="1" applyAlignment="1" applyProtection="1">
      <alignment horizontal="right"/>
      <protection locked="0"/>
    </xf>
    <xf numFmtId="2" fontId="38" fillId="9" borderId="0" xfId="0" applyNumberFormat="1" applyFont="1" applyFill="1" applyProtection="1">
      <protection locked="0"/>
    </xf>
    <xf numFmtId="0" fontId="38" fillId="5" borderId="0" xfId="0" applyFont="1" applyFill="1" applyBorder="1" applyProtection="1">
      <protection locked="0"/>
    </xf>
    <xf numFmtId="0" fontId="38" fillId="5" borderId="0" xfId="0" applyFont="1" applyFill="1" applyBorder="1" applyAlignment="1" applyProtection="1">
      <alignment horizontal="center"/>
      <protection locked="0"/>
    </xf>
    <xf numFmtId="2" fontId="38" fillId="5" borderId="0" xfId="0" applyNumberFormat="1" applyFont="1" applyFill="1" applyBorder="1" applyAlignment="1" applyProtection="1">
      <alignment horizontal="center"/>
      <protection locked="0"/>
    </xf>
    <xf numFmtId="168" fontId="51" fillId="5" borderId="0" xfId="0" applyNumberFormat="1" applyFont="1" applyFill="1" applyBorder="1" applyAlignment="1" applyProtection="1">
      <alignment horizontal="right"/>
      <protection locked="0"/>
    </xf>
    <xf numFmtId="0" fontId="38" fillId="10" borderId="0" xfId="0" applyFont="1" applyFill="1" applyBorder="1" applyAlignment="1" applyProtection="1">
      <alignment horizontal="center" vertical="center"/>
      <protection locked="0"/>
    </xf>
    <xf numFmtId="178" fontId="57" fillId="2" borderId="1" xfId="0" applyNumberFormat="1" applyFont="1" applyFill="1" applyBorder="1" applyAlignment="1" applyProtection="1">
      <alignment horizontal="right" vertical="center"/>
      <protection locked="0"/>
    </xf>
    <xf numFmtId="2" fontId="38" fillId="10" borderId="0" xfId="0" applyNumberFormat="1" applyFont="1" applyFill="1" applyBorder="1" applyProtection="1">
      <protection locked="0"/>
    </xf>
    <xf numFmtId="2" fontId="51" fillId="10" borderId="0" xfId="0" applyNumberFormat="1" applyFont="1" applyFill="1" applyBorder="1" applyAlignment="1" applyProtection="1">
      <alignment horizontal="right"/>
      <protection locked="0"/>
    </xf>
    <xf numFmtId="166" fontId="51" fillId="6" borderId="20" xfId="0" applyNumberFormat="1" applyFont="1" applyFill="1" applyBorder="1" applyAlignment="1" applyProtection="1">
      <alignment horizontal="right"/>
      <protection locked="0"/>
    </xf>
    <xf numFmtId="186" fontId="51" fillId="6" borderId="20" xfId="0" applyNumberFormat="1" applyFont="1" applyFill="1" applyBorder="1" applyAlignment="1" applyProtection="1">
      <alignment horizontal="right"/>
      <protection locked="0"/>
    </xf>
    <xf numFmtId="0" fontId="38" fillId="8" borderId="0" xfId="0" applyFont="1" applyFill="1" applyProtection="1">
      <protection locked="0"/>
    </xf>
    <xf numFmtId="0" fontId="38" fillId="8" borderId="0" xfId="0" applyFont="1" applyFill="1" applyAlignment="1" applyProtection="1">
      <alignment horizontal="center"/>
      <protection locked="0"/>
    </xf>
    <xf numFmtId="2" fontId="38" fillId="8" borderId="0" xfId="0" applyNumberFormat="1" applyFont="1" applyFill="1" applyAlignment="1" applyProtection="1">
      <alignment horizontal="center"/>
      <protection locked="0"/>
    </xf>
    <xf numFmtId="0" fontId="38" fillId="8" borderId="0" xfId="0" applyFont="1" applyFill="1" applyAlignment="1" applyProtection="1">
      <alignment horizontal="right"/>
      <protection locked="0"/>
    </xf>
    <xf numFmtId="2" fontId="38" fillId="9" borderId="0" xfId="0" applyNumberFormat="1" applyFont="1" applyFill="1" applyAlignment="1" applyProtection="1">
      <alignment horizontal="center"/>
      <protection locked="0"/>
    </xf>
    <xf numFmtId="0" fontId="38" fillId="9" borderId="0" xfId="0" applyFont="1" applyFill="1" applyAlignment="1" applyProtection="1">
      <alignment horizontal="right"/>
      <protection locked="0"/>
    </xf>
    <xf numFmtId="0" fontId="42" fillId="30" borderId="0" xfId="0" applyFont="1" applyFill="1" applyProtection="1">
      <protection locked="0"/>
    </xf>
    <xf numFmtId="0" fontId="43" fillId="30" borderId="0" xfId="0" applyFont="1" applyFill="1" applyProtection="1">
      <protection locked="0"/>
    </xf>
    <xf numFmtId="0" fontId="46" fillId="30" borderId="0" xfId="0" applyFont="1" applyFill="1" applyAlignment="1" applyProtection="1">
      <alignment wrapText="1"/>
      <protection locked="0"/>
    </xf>
    <xf numFmtId="2" fontId="51" fillId="10" borderId="0" xfId="0" applyNumberFormat="1" applyFont="1" applyFill="1" applyBorder="1" applyAlignment="1" applyProtection="1">
      <alignment horizontal="left" vertical="center" wrapText="1"/>
      <protection locked="0"/>
    </xf>
    <xf numFmtId="2" fontId="38" fillId="10" borderId="0" xfId="0" applyNumberFormat="1" applyFont="1" applyFill="1" applyBorder="1" applyAlignment="1" applyProtection="1">
      <alignment vertical="center" wrapText="1"/>
      <protection locked="0"/>
    </xf>
    <xf numFmtId="0" fontId="38" fillId="10" borderId="0" xfId="0" applyFont="1" applyFill="1" applyBorder="1" applyAlignment="1" applyProtection="1">
      <alignment horizontal="left" vertical="center"/>
      <protection locked="0"/>
    </xf>
    <xf numFmtId="0" fontId="38" fillId="0" borderId="0" xfId="0" applyFont="1" applyProtection="1">
      <protection locked="0"/>
    </xf>
    <xf numFmtId="2" fontId="55" fillId="10" borderId="0" xfId="0" applyNumberFormat="1" applyFont="1" applyFill="1" applyBorder="1" applyAlignment="1" applyProtection="1">
      <alignment vertical="center" wrapText="1"/>
      <protection locked="0"/>
    </xf>
    <xf numFmtId="0" fontId="38" fillId="10" borderId="0" xfId="0" applyFont="1" applyFill="1" applyAlignment="1" applyProtection="1">
      <alignment vertical="top"/>
      <protection locked="0"/>
    </xf>
    <xf numFmtId="0" fontId="38" fillId="10" borderId="0" xfId="0" applyFont="1" applyFill="1" applyAlignment="1" applyProtection="1">
      <alignment horizontal="right" vertical="top"/>
      <protection locked="0"/>
    </xf>
    <xf numFmtId="2" fontId="38" fillId="10" borderId="0" xfId="0" applyNumberFormat="1" applyFont="1" applyFill="1" applyBorder="1" applyAlignment="1" applyProtection="1">
      <alignment horizontal="left"/>
      <protection locked="0"/>
    </xf>
    <xf numFmtId="2" fontId="38" fillId="4" borderId="20" xfId="0" applyNumberFormat="1" applyFont="1" applyFill="1" applyBorder="1" applyAlignment="1" applyProtection="1">
      <alignment horizontal="right" vertical="center" wrapText="1"/>
      <protection locked="0"/>
    </xf>
    <xf numFmtId="169" fontId="38" fillId="0" borderId="20" xfId="0" applyNumberFormat="1" applyFont="1" applyFill="1" applyBorder="1" applyAlignment="1" applyProtection="1">
      <alignment horizontal="center"/>
      <protection locked="0"/>
    </xf>
    <xf numFmtId="170" fontId="38" fillId="6" borderId="20" xfId="0" applyNumberFormat="1" applyFont="1" applyFill="1" applyBorder="1" applyAlignment="1" applyProtection="1">
      <alignment horizontal="center"/>
      <protection locked="0"/>
    </xf>
    <xf numFmtId="169" fontId="38" fillId="10" borderId="20" xfId="0" applyNumberFormat="1" applyFont="1" applyFill="1" applyBorder="1" applyAlignment="1" applyProtection="1">
      <alignment horizontal="center"/>
      <protection locked="0"/>
    </xf>
    <xf numFmtId="171" fontId="38" fillId="0" borderId="20" xfId="0" applyNumberFormat="1" applyFont="1" applyFill="1" applyBorder="1" applyAlignment="1" applyProtection="1">
      <alignment horizontal="center"/>
      <protection locked="0"/>
    </xf>
    <xf numFmtId="174" fontId="51" fillId="2" borderId="20" xfId="0" applyNumberFormat="1" applyFont="1" applyFill="1" applyBorder="1" applyAlignment="1" applyProtection="1">
      <alignment horizontal="center"/>
      <protection locked="0"/>
    </xf>
    <xf numFmtId="170" fontId="51" fillId="6" borderId="20" xfId="0" applyNumberFormat="1" applyFont="1" applyFill="1" applyBorder="1" applyAlignment="1" applyProtection="1">
      <alignment horizontal="right"/>
      <protection locked="0"/>
    </xf>
    <xf numFmtId="183" fontId="38" fillId="0" borderId="20" xfId="0" applyNumberFormat="1" applyFont="1" applyFill="1" applyBorder="1" applyAlignment="1" applyProtection="1">
      <alignment horizontal="center"/>
      <protection locked="0"/>
    </xf>
    <xf numFmtId="179" fontId="38" fillId="0" borderId="20" xfId="0" applyNumberFormat="1" applyFont="1" applyFill="1" applyBorder="1" applyAlignment="1" applyProtection="1">
      <alignment horizontal="center"/>
      <protection locked="0"/>
    </xf>
    <xf numFmtId="179" fontId="51" fillId="2" borderId="20" xfId="0" applyNumberFormat="1" applyFont="1" applyFill="1" applyBorder="1" applyAlignment="1" applyProtection="1">
      <alignment horizontal="center"/>
      <protection locked="0"/>
    </xf>
    <xf numFmtId="2" fontId="51" fillId="30" borderId="0" xfId="0" applyNumberFormat="1" applyFont="1" applyFill="1" applyBorder="1" applyAlignment="1" applyProtection="1">
      <alignment horizontal="center" vertical="center" wrapText="1"/>
      <protection locked="0"/>
    </xf>
    <xf numFmtId="184" fontId="38" fillId="0" borderId="20" xfId="0" applyNumberFormat="1" applyFont="1" applyFill="1" applyBorder="1" applyAlignment="1" applyProtection="1">
      <alignment horizontal="center"/>
      <protection locked="0"/>
    </xf>
    <xf numFmtId="172" fontId="38" fillId="0" borderId="20" xfId="0" applyNumberFormat="1" applyFont="1" applyFill="1" applyBorder="1" applyAlignment="1" applyProtection="1">
      <alignment horizontal="center"/>
      <protection locked="0"/>
    </xf>
    <xf numFmtId="176" fontId="51" fillId="2" borderId="20" xfId="0" applyNumberFormat="1" applyFont="1" applyFill="1" applyBorder="1" applyAlignment="1" applyProtection="1">
      <alignment horizontal="center"/>
      <protection locked="0"/>
    </xf>
    <xf numFmtId="0" fontId="38" fillId="30" borderId="0" xfId="0" applyFont="1" applyFill="1" applyBorder="1" applyAlignment="1" applyProtection="1">
      <alignment horizontal="center"/>
      <protection locked="0"/>
    </xf>
    <xf numFmtId="2" fontId="38" fillId="30" borderId="0" xfId="0" applyNumberFormat="1" applyFont="1" applyFill="1" applyBorder="1" applyAlignment="1" applyProtection="1">
      <alignment horizontal="center"/>
      <protection locked="0"/>
    </xf>
    <xf numFmtId="177" fontId="51" fillId="2" borderId="20" xfId="0" applyNumberFormat="1" applyFont="1" applyFill="1" applyBorder="1" applyAlignment="1" applyProtection="1">
      <alignment horizontal="center"/>
      <protection locked="0"/>
    </xf>
    <xf numFmtId="182" fontId="38" fillId="0" borderId="20" xfId="0" applyNumberFormat="1" applyFont="1" applyFill="1" applyBorder="1" applyAlignment="1" applyProtection="1">
      <alignment horizontal="center"/>
      <protection locked="0"/>
    </xf>
    <xf numFmtId="173" fontId="38" fillId="0" borderId="20" xfId="0" applyNumberFormat="1" applyFont="1" applyFill="1" applyBorder="1" applyAlignment="1" applyProtection="1">
      <alignment horizontal="center"/>
      <protection locked="0"/>
    </xf>
    <xf numFmtId="175" fontId="51" fillId="2" borderId="20" xfId="0" applyNumberFormat="1" applyFont="1" applyFill="1" applyBorder="1" applyAlignment="1" applyProtection="1">
      <alignment horizontal="center"/>
      <protection locked="0"/>
    </xf>
    <xf numFmtId="2" fontId="38" fillId="0" borderId="0" xfId="0" applyNumberFormat="1" applyFont="1" applyFill="1" applyBorder="1" applyAlignment="1" applyProtection="1">
      <alignment horizontal="center"/>
      <protection locked="0"/>
    </xf>
    <xf numFmtId="170" fontId="57" fillId="2" borderId="1" xfId="0" applyNumberFormat="1" applyFont="1" applyFill="1" applyBorder="1" applyAlignment="1" applyProtection="1">
      <alignment horizontal="right" vertical="center"/>
      <protection locked="0"/>
    </xf>
    <xf numFmtId="0" fontId="52" fillId="30" borderId="0" xfId="0" applyFont="1" applyFill="1" applyAlignment="1" applyProtection="1">
      <alignment vertical="center"/>
      <protection locked="0"/>
    </xf>
    <xf numFmtId="179" fontId="38" fillId="10" borderId="20" xfId="0" applyNumberFormat="1" applyFont="1" applyFill="1" applyBorder="1" applyAlignment="1" applyProtection="1">
      <alignment horizontal="center"/>
      <protection locked="0"/>
    </xf>
    <xf numFmtId="172" fontId="38" fillId="10" borderId="20" xfId="0" applyNumberFormat="1" applyFont="1" applyFill="1" applyBorder="1" applyAlignment="1" applyProtection="1">
      <alignment horizontal="center"/>
      <protection locked="0"/>
    </xf>
    <xf numFmtId="0" fontId="51" fillId="10" borderId="0" xfId="0" applyFont="1" applyFill="1" applyBorder="1" applyAlignment="1" applyProtection="1">
      <alignment horizontal="right"/>
      <protection locked="0"/>
    </xf>
    <xf numFmtId="0" fontId="38" fillId="0" borderId="0" xfId="0" applyFont="1" applyAlignment="1" applyProtection="1">
      <alignment horizontal="center"/>
      <protection locked="0"/>
    </xf>
    <xf numFmtId="2" fontId="38" fillId="0" borderId="0" xfId="0" applyNumberFormat="1" applyFont="1" applyAlignment="1" applyProtection="1">
      <alignment horizontal="center"/>
      <protection locked="0"/>
    </xf>
    <xf numFmtId="0" fontId="38" fillId="0" borderId="0" xfId="0" applyFont="1" applyAlignment="1" applyProtection="1">
      <alignment horizontal="right"/>
      <protection locked="0"/>
    </xf>
    <xf numFmtId="0" fontId="42" fillId="0" borderId="0" xfId="0" applyFont="1" applyProtection="1">
      <protection locked="0"/>
    </xf>
    <xf numFmtId="0" fontId="51" fillId="10" borderId="0" xfId="0" applyFont="1" applyFill="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38" fillId="9" borderId="0" xfId="0" applyFont="1" applyFill="1" applyAlignment="1" applyProtection="1">
      <alignment wrapText="1"/>
      <protection locked="0"/>
    </xf>
    <xf numFmtId="0" fontId="38" fillId="9" borderId="0" xfId="0" applyFont="1" applyFill="1" applyBorder="1" applyAlignment="1" applyProtection="1">
      <alignment wrapText="1"/>
      <protection locked="0"/>
    </xf>
    <xf numFmtId="165" fontId="51" fillId="10" borderId="0" xfId="0" applyNumberFormat="1" applyFont="1" applyFill="1" applyBorder="1" applyAlignment="1" applyProtection="1">
      <alignment horizontal="center"/>
      <protection locked="0"/>
    </xf>
    <xf numFmtId="165" fontId="38" fillId="10" borderId="0" xfId="0" applyNumberFormat="1" applyFont="1" applyFill="1" applyAlignment="1" applyProtection="1">
      <alignment horizontal="center"/>
      <protection locked="0"/>
    </xf>
    <xf numFmtId="165" fontId="38" fillId="10" borderId="0" xfId="0" applyNumberFormat="1" applyFont="1" applyFill="1" applyProtection="1">
      <protection locked="0"/>
    </xf>
    <xf numFmtId="168" fontId="4" fillId="10" borderId="0" xfId="0" applyNumberFormat="1" applyFont="1" applyFill="1" applyBorder="1" applyAlignment="1" applyProtection="1">
      <alignment horizontal="center"/>
      <protection locked="0"/>
    </xf>
    <xf numFmtId="178" fontId="57" fillId="2" borderId="1" xfId="0" applyNumberFormat="1" applyFont="1" applyFill="1" applyBorder="1" applyAlignment="1" applyProtection="1">
      <alignment horizontal="center" vertical="center"/>
      <protection locked="0"/>
    </xf>
    <xf numFmtId="0" fontId="4" fillId="10" borderId="0" xfId="0" applyFont="1" applyFill="1" applyBorder="1" applyProtection="1">
      <protection locked="0"/>
    </xf>
    <xf numFmtId="2" fontId="51" fillId="10" borderId="0" xfId="0" applyNumberFormat="1" applyFont="1" applyFill="1" applyBorder="1" applyAlignment="1" applyProtection="1">
      <alignment horizontal="center"/>
      <protection locked="0"/>
    </xf>
    <xf numFmtId="2" fontId="51" fillId="10" borderId="0" xfId="0" applyNumberFormat="1" applyFont="1" applyFill="1" applyBorder="1" applyProtection="1">
      <protection locked="0"/>
    </xf>
    <xf numFmtId="2" fontId="38" fillId="10" borderId="0" xfId="0" applyNumberFormat="1" applyFont="1" applyFill="1" applyBorder="1" applyAlignment="1" applyProtection="1">
      <alignment horizontal="left" vertical="center" wrapText="1"/>
      <protection locked="0"/>
    </xf>
    <xf numFmtId="2" fontId="66" fillId="20" borderId="0" xfId="0" applyNumberFormat="1" applyFont="1" applyFill="1" applyAlignment="1">
      <alignment horizontal="center"/>
    </xf>
    <xf numFmtId="17" fontId="67" fillId="10" borderId="0" xfId="0" applyNumberFormat="1" applyFont="1" applyFill="1"/>
    <xf numFmtId="2" fontId="67" fillId="20" borderId="0" xfId="0" applyNumberFormat="1" applyFont="1" applyFill="1" applyAlignment="1">
      <alignment horizontal="center" wrapText="1"/>
    </xf>
    <xf numFmtId="2" fontId="0" fillId="10" borderId="0" xfId="0" applyNumberFormat="1" applyFill="1" applyAlignment="1">
      <alignment horizontal="center"/>
    </xf>
    <xf numFmtId="0" fontId="67" fillId="20" borderId="0" xfId="0" applyFont="1" applyFill="1" applyAlignment="1">
      <alignment horizontal="center" wrapText="1"/>
    </xf>
    <xf numFmtId="0" fontId="66" fillId="20" borderId="0" xfId="0" applyFont="1" applyFill="1" applyAlignment="1">
      <alignment horizontal="center"/>
    </xf>
    <xf numFmtId="2" fontId="67" fillId="20" borderId="0" xfId="0" applyNumberFormat="1" applyFont="1" applyFill="1" applyAlignment="1">
      <alignment horizontal="center"/>
    </xf>
    <xf numFmtId="0" fontId="17" fillId="0" borderId="0" xfId="0" applyFont="1" applyAlignment="1">
      <alignment horizontal="center" vertical="center"/>
    </xf>
    <xf numFmtId="2" fontId="66" fillId="11" borderId="0" xfId="0" applyNumberFormat="1" applyFont="1" applyFill="1" applyAlignment="1">
      <alignment horizontal="center"/>
    </xf>
    <xf numFmtId="0" fontId="22" fillId="11" borderId="0" xfId="0" applyFont="1" applyFill="1"/>
    <xf numFmtId="180" fontId="23" fillId="11" borderId="0" xfId="0" applyNumberFormat="1" applyFont="1" applyFill="1" applyAlignment="1">
      <alignment horizontal="center"/>
    </xf>
    <xf numFmtId="0" fontId="23" fillId="11" borderId="0" xfId="0" applyFont="1" applyFill="1" applyAlignment="1">
      <alignment horizontal="center"/>
    </xf>
    <xf numFmtId="0" fontId="23" fillId="11" borderId="0" xfId="0" applyFont="1" applyFill="1" applyAlignment="1">
      <alignment horizontal="center" wrapText="1"/>
    </xf>
    <xf numFmtId="2" fontId="66" fillId="3" borderId="0" xfId="0" applyNumberFormat="1" applyFont="1" applyFill="1" applyAlignment="1">
      <alignment horizontal="center"/>
    </xf>
    <xf numFmtId="2" fontId="66" fillId="14" borderId="0" xfId="0" applyNumberFormat="1" applyFont="1" applyFill="1" applyAlignment="1">
      <alignment horizontal="center"/>
    </xf>
    <xf numFmtId="2" fontId="66" fillId="33" borderId="0" xfId="0" applyNumberFormat="1" applyFont="1" applyFill="1" applyAlignment="1">
      <alignment horizontal="center"/>
    </xf>
    <xf numFmtId="0" fontId="33" fillId="27" borderId="0" xfId="0" applyFont="1" applyFill="1"/>
    <xf numFmtId="2" fontId="66" fillId="27" borderId="0" xfId="0" applyNumberFormat="1" applyFont="1" applyFill="1" applyAlignment="1">
      <alignment horizontal="center"/>
    </xf>
    <xf numFmtId="0" fontId="22" fillId="27" borderId="0" xfId="0" applyFont="1" applyFill="1"/>
    <xf numFmtId="2" fontId="23" fillId="27" borderId="0" xfId="0" applyNumberFormat="1" applyFont="1" applyFill="1" applyAlignment="1">
      <alignment horizontal="center"/>
    </xf>
    <xf numFmtId="0" fontId="23" fillId="27" borderId="0" xfId="0" applyFont="1" applyFill="1" applyAlignment="1">
      <alignment horizontal="center"/>
    </xf>
    <xf numFmtId="0" fontId="23" fillId="27" borderId="0" xfId="0" applyFont="1" applyFill="1" applyAlignment="1">
      <alignment horizontal="center" wrapText="1"/>
    </xf>
    <xf numFmtId="2" fontId="66" fillId="16" borderId="0" xfId="0" applyNumberFormat="1" applyFont="1" applyFill="1" applyAlignment="1">
      <alignment horizontal="center"/>
    </xf>
    <xf numFmtId="0" fontId="22" fillId="16" borderId="0" xfId="0" applyFont="1" applyFill="1"/>
    <xf numFmtId="2" fontId="25" fillId="16" borderId="0" xfId="0" applyNumberFormat="1" applyFont="1" applyFill="1" applyAlignment="1">
      <alignment horizontal="center"/>
    </xf>
    <xf numFmtId="2" fontId="25" fillId="10" borderId="0" xfId="0" applyNumberFormat="1" applyFont="1" applyFill="1" applyAlignment="1">
      <alignment horizontal="center"/>
    </xf>
    <xf numFmtId="0" fontId="0" fillId="16" borderId="0" xfId="0" applyFill="1" applyAlignment="1">
      <alignment horizontal="center"/>
    </xf>
    <xf numFmtId="0" fontId="0" fillId="16" borderId="0" xfId="0" applyFill="1" applyAlignment="1">
      <alignment horizontal="center" wrapText="1"/>
    </xf>
    <xf numFmtId="0" fontId="66" fillId="16" borderId="0" xfId="0" applyFont="1" applyFill="1" applyAlignment="1">
      <alignment horizontal="center"/>
    </xf>
    <xf numFmtId="0" fontId="1" fillId="16" borderId="0" xfId="0" applyFont="1" applyFill="1"/>
    <xf numFmtId="2" fontId="66" fillId="19" borderId="0" xfId="0" applyNumberFormat="1" applyFont="1" applyFill="1" applyAlignment="1">
      <alignment horizontal="center"/>
    </xf>
    <xf numFmtId="0" fontId="66" fillId="19" borderId="0" xfId="0" applyFont="1" applyFill="1" applyAlignment="1">
      <alignment horizontal="center"/>
    </xf>
    <xf numFmtId="2" fontId="66" fillId="29" borderId="0" xfId="0" applyNumberFormat="1" applyFont="1" applyFill="1" applyAlignment="1">
      <alignment horizontal="center"/>
    </xf>
    <xf numFmtId="0" fontId="27" fillId="29" borderId="0" xfId="0" applyFont="1" applyFill="1" applyAlignment="1">
      <alignment horizontal="center"/>
    </xf>
    <xf numFmtId="2" fontId="27" fillId="29" borderId="0" xfId="0" applyNumberFormat="1" applyFont="1" applyFill="1" applyAlignment="1">
      <alignment horizontal="center"/>
    </xf>
    <xf numFmtId="0" fontId="66" fillId="29" borderId="0" xfId="0" applyFont="1" applyFill="1" applyAlignment="1">
      <alignment horizontal="center"/>
    </xf>
    <xf numFmtId="0" fontId="66" fillId="14" borderId="0" xfId="0" applyFont="1" applyFill="1" applyAlignment="1">
      <alignment horizontal="center"/>
    </xf>
    <xf numFmtId="2" fontId="66" fillId="35" borderId="0" xfId="0" applyNumberFormat="1" applyFont="1" applyFill="1" applyAlignment="1">
      <alignment horizontal="center"/>
    </xf>
    <xf numFmtId="0" fontId="23" fillId="17" borderId="0" xfId="0" applyFont="1" applyFill="1" applyAlignment="1">
      <alignment horizontal="center" vertical="center"/>
    </xf>
    <xf numFmtId="0" fontId="0" fillId="24" borderId="0" xfId="0" applyFill="1" applyAlignment="1">
      <alignment horizontal="center" vertical="center" wrapText="1"/>
    </xf>
    <xf numFmtId="0" fontId="0" fillId="19" borderId="0" xfId="0" applyFill="1" applyAlignment="1">
      <alignment horizontal="center" vertical="center"/>
    </xf>
    <xf numFmtId="0" fontId="0" fillId="10" borderId="0" xfId="0" applyFill="1" applyAlignment="1">
      <alignment horizontal="center" vertical="center" wrapText="1"/>
    </xf>
    <xf numFmtId="0" fontId="61" fillId="36" borderId="16" xfId="0" applyFont="1" applyFill="1" applyBorder="1" applyAlignment="1">
      <alignment horizontal="center" vertical="center"/>
    </xf>
    <xf numFmtId="0" fontId="61" fillId="36" borderId="0" xfId="0" applyFont="1" applyFill="1" applyBorder="1" applyAlignment="1">
      <alignment horizontal="center" vertical="center"/>
    </xf>
    <xf numFmtId="0" fontId="62" fillId="10" borderId="0" xfId="0" applyFont="1" applyFill="1" applyBorder="1" applyAlignment="1">
      <alignment horizontal="center"/>
    </xf>
    <xf numFmtId="0" fontId="50" fillId="10" borderId="0" xfId="0" applyFont="1" applyFill="1" applyBorder="1" applyAlignment="1">
      <alignment horizontal="center" vertical="center" wrapText="1"/>
    </xf>
    <xf numFmtId="0" fontId="42" fillId="10" borderId="0" xfId="0" applyFont="1" applyFill="1" applyBorder="1" applyAlignment="1">
      <alignment horizontal="center"/>
    </xf>
    <xf numFmtId="0" fontId="55" fillId="10" borderId="0" xfId="0" applyFont="1" applyFill="1" applyBorder="1" applyAlignment="1">
      <alignment horizontal="center" vertical="center"/>
    </xf>
    <xf numFmtId="0" fontId="38" fillId="5" borderId="17" xfId="0" applyFont="1" applyFill="1" applyBorder="1" applyAlignment="1" applyProtection="1">
      <alignment horizontal="center"/>
      <protection locked="0"/>
    </xf>
    <xf numFmtId="0" fontId="38" fillId="5" borderId="23" xfId="0" applyFont="1" applyFill="1" applyBorder="1" applyAlignment="1" applyProtection="1">
      <alignment horizontal="center"/>
      <protection locked="0"/>
    </xf>
    <xf numFmtId="0" fontId="38" fillId="0" borderId="20" xfId="0" applyFont="1" applyBorder="1" applyAlignment="1" applyProtection="1">
      <alignment horizontal="center"/>
      <protection locked="0"/>
    </xf>
    <xf numFmtId="0" fontId="40" fillId="2" borderId="0" xfId="1" applyFont="1" applyFill="1" applyAlignment="1" applyProtection="1">
      <alignment horizontal="center" vertical="center"/>
      <protection locked="0"/>
    </xf>
    <xf numFmtId="14" fontId="38" fillId="10" borderId="18" xfId="0" applyNumberFormat="1" applyFont="1" applyFill="1" applyBorder="1" applyAlignment="1" applyProtection="1">
      <alignment horizontal="left"/>
      <protection locked="0"/>
    </xf>
    <xf numFmtId="0" fontId="38" fillId="10" borderId="19" xfId="0" applyFont="1" applyFill="1" applyBorder="1" applyAlignment="1" applyProtection="1">
      <alignment horizontal="left"/>
      <protection locked="0"/>
    </xf>
    <xf numFmtId="0" fontId="38" fillId="10" borderId="18" xfId="0" applyFont="1" applyFill="1" applyBorder="1" applyAlignment="1" applyProtection="1">
      <alignment horizontal="left"/>
      <protection locked="0"/>
    </xf>
    <xf numFmtId="2" fontId="38" fillId="4" borderId="17" xfId="0" applyNumberFormat="1" applyFont="1" applyFill="1" applyBorder="1" applyAlignment="1" applyProtection="1">
      <alignment horizontal="center" vertical="center" wrapText="1"/>
      <protection locked="0"/>
    </xf>
    <xf numFmtId="2" fontId="38" fillId="4" borderId="23" xfId="0" applyNumberFormat="1" applyFont="1" applyFill="1" applyBorder="1" applyAlignment="1" applyProtection="1">
      <alignment horizontal="center" vertical="center" wrapText="1"/>
      <protection locked="0"/>
    </xf>
    <xf numFmtId="0" fontId="38" fillId="0" borderId="20" xfId="0" applyFont="1" applyFill="1" applyBorder="1" applyAlignment="1" applyProtection="1">
      <alignment horizontal="center"/>
      <protection locked="0"/>
    </xf>
    <xf numFmtId="0" fontId="51" fillId="31" borderId="20" xfId="0" applyFont="1" applyFill="1" applyBorder="1" applyAlignment="1" applyProtection="1">
      <alignment horizontal="left" vertical="center"/>
      <protection locked="0"/>
    </xf>
    <xf numFmtId="0" fontId="38" fillId="0" borderId="17" xfId="0" applyFont="1" applyBorder="1" applyAlignment="1" applyProtection="1">
      <alignment horizontal="center"/>
      <protection locked="0"/>
    </xf>
    <xf numFmtId="0" fontId="58" fillId="8" borderId="25" xfId="0" applyFont="1" applyFill="1" applyBorder="1" applyAlignment="1" applyProtection="1">
      <alignment horizontal="center" vertical="center"/>
      <protection locked="0"/>
    </xf>
    <xf numFmtId="0" fontId="58" fillId="8" borderId="27" xfId="0" applyFont="1" applyFill="1" applyBorder="1" applyAlignment="1" applyProtection="1">
      <alignment horizontal="center" vertical="center"/>
      <protection locked="0"/>
    </xf>
    <xf numFmtId="0" fontId="58" fillId="8" borderId="26" xfId="0" applyFont="1" applyFill="1" applyBorder="1" applyAlignment="1" applyProtection="1">
      <alignment horizontal="center" vertical="center"/>
      <protection locked="0"/>
    </xf>
    <xf numFmtId="0" fontId="38" fillId="10" borderId="0" xfId="0" applyFont="1" applyFill="1" applyBorder="1" applyAlignment="1" applyProtection="1">
      <alignment horizontal="left" vertical="center"/>
      <protection locked="0"/>
    </xf>
    <xf numFmtId="0" fontId="51" fillId="10" borderId="0" xfId="0" applyFont="1" applyFill="1" applyBorder="1" applyAlignment="1" applyProtection="1">
      <alignment horizontal="right"/>
      <protection locked="0"/>
    </xf>
    <xf numFmtId="0" fontId="38" fillId="10" borderId="0" xfId="0" applyFont="1" applyFill="1" applyAlignment="1" applyProtection="1">
      <alignment horizontal="justify" vertical="top"/>
      <protection locked="0"/>
    </xf>
    <xf numFmtId="0" fontId="38" fillId="0" borderId="17" xfId="0" applyFont="1" applyFill="1" applyBorder="1" applyAlignment="1" applyProtection="1">
      <alignment horizontal="center"/>
      <protection locked="0"/>
    </xf>
    <xf numFmtId="0" fontId="38" fillId="0" borderId="23" xfId="0" applyFont="1" applyFill="1" applyBorder="1" applyAlignment="1" applyProtection="1">
      <alignment horizontal="center"/>
      <protection locked="0"/>
    </xf>
    <xf numFmtId="0" fontId="52" fillId="10" borderId="0" xfId="0" applyFont="1" applyFill="1" applyAlignment="1" applyProtection="1">
      <alignment horizontal="center" vertical="center"/>
      <protection locked="0"/>
    </xf>
    <xf numFmtId="0" fontId="55" fillId="10" borderId="0" xfId="0" applyFont="1" applyFill="1" applyAlignment="1" applyProtection="1">
      <alignment horizontal="left" vertical="top" wrapText="1"/>
      <protection locked="0"/>
    </xf>
    <xf numFmtId="0" fontId="38" fillId="10" borderId="0" xfId="0" applyFont="1" applyFill="1" applyAlignment="1" applyProtection="1">
      <alignment horizontal="center"/>
      <protection locked="0"/>
    </xf>
    <xf numFmtId="2" fontId="55" fillId="10" borderId="0" xfId="0" applyNumberFormat="1" applyFont="1" applyFill="1" applyBorder="1" applyAlignment="1" applyProtection="1">
      <alignment horizontal="justify" vertical="top" wrapText="1"/>
      <protection locked="0"/>
    </xf>
    <xf numFmtId="0" fontId="45" fillId="13" borderId="0" xfId="0" applyFont="1" applyFill="1" applyAlignment="1" applyProtection="1">
      <alignment horizontal="left" vertical="top" wrapText="1"/>
      <protection locked="0"/>
    </xf>
    <xf numFmtId="0" fontId="63" fillId="36" borderId="0" xfId="0" applyFont="1" applyFill="1" applyAlignment="1" applyProtection="1">
      <alignment horizontal="center" vertical="center"/>
      <protection locked="0"/>
    </xf>
    <xf numFmtId="0" fontId="60" fillId="36" borderId="0" xfId="0" applyFont="1" applyFill="1" applyAlignment="1" applyProtection="1">
      <alignment horizontal="center" vertical="center"/>
      <protection locked="0"/>
    </xf>
    <xf numFmtId="0" fontId="41" fillId="32" borderId="0" xfId="0" applyFont="1" applyFill="1" applyBorder="1" applyAlignment="1" applyProtection="1">
      <alignment horizontal="center"/>
      <protection locked="0"/>
    </xf>
    <xf numFmtId="185" fontId="38" fillId="10" borderId="18" xfId="0" applyNumberFormat="1" applyFont="1" applyFill="1" applyBorder="1" applyAlignment="1" applyProtection="1">
      <alignment horizontal="left"/>
      <protection locked="0"/>
    </xf>
    <xf numFmtId="0" fontId="48" fillId="14" borderId="0" xfId="0" applyFont="1" applyFill="1" applyAlignment="1" applyProtection="1">
      <alignment horizontal="center" vertical="center"/>
      <protection locked="0"/>
    </xf>
    <xf numFmtId="0" fontId="38" fillId="9" borderId="0" xfId="0" applyFont="1" applyFill="1" applyAlignment="1" applyProtection="1">
      <alignment horizontal="left" vertical="top" wrapText="1"/>
      <protection locked="0"/>
    </xf>
    <xf numFmtId="0" fontId="56" fillId="36" borderId="0" xfId="0" applyFont="1" applyFill="1" applyAlignment="1" applyProtection="1">
      <alignment horizontal="center" vertical="center"/>
      <protection locked="0"/>
    </xf>
    <xf numFmtId="2" fontId="55" fillId="10" borderId="0" xfId="0" applyNumberFormat="1" applyFont="1" applyFill="1" applyBorder="1" applyAlignment="1" applyProtection="1">
      <alignment horizontal="justify" vertical="center" wrapText="1"/>
      <protection locked="0"/>
    </xf>
    <xf numFmtId="0" fontId="41" fillId="10" borderId="0" xfId="0" applyFont="1" applyFill="1" applyBorder="1" applyAlignment="1" applyProtection="1">
      <alignment horizontal="center"/>
      <protection locked="0"/>
    </xf>
    <xf numFmtId="0" fontId="38" fillId="10" borderId="0" xfId="0" applyFont="1" applyFill="1" applyBorder="1" applyAlignment="1" applyProtection="1">
      <alignment horizontal="left"/>
      <protection locked="0"/>
    </xf>
    <xf numFmtId="0" fontId="45" fillId="10" borderId="15" xfId="0" applyFont="1" applyFill="1" applyBorder="1" applyAlignment="1" applyProtection="1">
      <alignment horizontal="justify" vertical="top" wrapText="1"/>
      <protection locked="0"/>
    </xf>
    <xf numFmtId="0" fontId="1" fillId="10" borderId="6" xfId="0" applyFont="1" applyFill="1" applyBorder="1" applyAlignment="1">
      <alignment horizontal="left" vertical="center"/>
    </xf>
    <xf numFmtId="0" fontId="1" fillId="10" borderId="7" xfId="0" applyFont="1" applyFill="1" applyBorder="1" applyAlignment="1">
      <alignment horizontal="left" vertical="center"/>
    </xf>
    <xf numFmtId="0" fontId="23" fillId="17" borderId="0" xfId="0" applyFont="1" applyFill="1" applyAlignment="1">
      <alignment horizontal="center" vertical="center"/>
    </xf>
    <xf numFmtId="0" fontId="23" fillId="18" borderId="0" xfId="0" applyFont="1" applyFill="1" applyAlignment="1">
      <alignment horizontal="center" vertical="center"/>
    </xf>
    <xf numFmtId="0" fontId="0" fillId="24" borderId="0" xfId="0" applyFill="1" applyAlignment="1">
      <alignment horizontal="center" vertical="center" wrapText="1"/>
    </xf>
    <xf numFmtId="0" fontId="0" fillId="21" borderId="0" xfId="0" applyFill="1" applyAlignment="1">
      <alignment horizontal="center" vertical="center"/>
    </xf>
    <xf numFmtId="0" fontId="0" fillId="23" borderId="0" xfId="0" applyFill="1" applyAlignment="1">
      <alignment horizontal="center" vertical="center"/>
    </xf>
    <xf numFmtId="0" fontId="0" fillId="26" borderId="0" xfId="0" applyFill="1" applyAlignment="1">
      <alignment horizontal="center" vertical="center"/>
    </xf>
    <xf numFmtId="0" fontId="0" fillId="22" borderId="0" xfId="0" applyFill="1" applyAlignment="1">
      <alignment horizontal="center" vertical="center"/>
    </xf>
    <xf numFmtId="0" fontId="0" fillId="19" borderId="0" xfId="0" applyFill="1" applyAlignment="1">
      <alignment horizontal="center" vertical="center"/>
    </xf>
    <xf numFmtId="0" fontId="0" fillId="25" borderId="0" xfId="0" applyFill="1" applyAlignment="1">
      <alignment horizontal="center" vertical="center"/>
    </xf>
    <xf numFmtId="0" fontId="0" fillId="11" borderId="0" xfId="0" applyFill="1" applyAlignment="1">
      <alignment horizontal="center" vertical="center"/>
    </xf>
    <xf numFmtId="0" fontId="0" fillId="6" borderId="0" xfId="0" applyFill="1" applyAlignment="1">
      <alignment horizontal="center" vertical="center"/>
    </xf>
    <xf numFmtId="0" fontId="0" fillId="28" borderId="0" xfId="0" applyFill="1" applyAlignment="1">
      <alignment horizontal="center" vertical="center"/>
    </xf>
    <xf numFmtId="0" fontId="0" fillId="2" borderId="0" xfId="0" applyFill="1" applyAlignment="1">
      <alignment horizontal="center" vertical="center" wrapText="1"/>
    </xf>
    <xf numFmtId="0" fontId="0" fillId="34" borderId="0" xfId="0" applyFill="1" applyAlignment="1">
      <alignment horizontal="center" vertical="center"/>
    </xf>
    <xf numFmtId="0" fontId="0" fillId="11" borderId="0" xfId="0" applyFill="1" applyAlignment="1">
      <alignment horizontal="center" vertical="center" wrapText="1"/>
    </xf>
    <xf numFmtId="0" fontId="0" fillId="38" borderId="0" xfId="0" applyFill="1" applyAlignment="1">
      <alignment horizontal="center" vertical="center" wrapText="1"/>
    </xf>
    <xf numFmtId="0" fontId="0" fillId="10" borderId="0" xfId="0" applyFill="1" applyAlignment="1">
      <alignment horizontal="center" vertical="center" wrapText="1"/>
    </xf>
    <xf numFmtId="0" fontId="0" fillId="0" borderId="6" xfId="0" applyFill="1" applyBorder="1" applyAlignment="1">
      <alignment horizontal="left" vertical="center"/>
    </xf>
    <xf numFmtId="0" fontId="0" fillId="0" borderId="7" xfId="0" applyFill="1" applyBorder="1" applyAlignment="1">
      <alignment horizontal="left" vertical="center"/>
    </xf>
    <xf numFmtId="2" fontId="27" fillId="20" borderId="0" xfId="0" applyNumberFormat="1" applyFont="1" applyFill="1" applyAlignment="1">
      <alignment horizontal="center"/>
    </xf>
    <xf numFmtId="2" fontId="69" fillId="13" borderId="20" xfId="0" applyNumberFormat="1" applyFont="1" applyFill="1" applyBorder="1" applyAlignment="1">
      <alignment horizontal="center"/>
    </xf>
    <xf numFmtId="2" fontId="2" fillId="13" borderId="20" xfId="0" applyNumberFormat="1" applyFont="1" applyFill="1" applyBorder="1" applyAlignment="1">
      <alignment horizontal="center"/>
    </xf>
    <xf numFmtId="2" fontId="27" fillId="16" borderId="0" xfId="0" applyNumberFormat="1" applyFont="1" applyFill="1" applyAlignment="1">
      <alignment horizontal="center"/>
    </xf>
    <xf numFmtId="0" fontId="71" fillId="0" borderId="1" xfId="0" applyFont="1" applyBorder="1" applyAlignment="1">
      <alignment horizontal="center" vertical="center"/>
    </xf>
    <xf numFmtId="0" fontId="72" fillId="0" borderId="26" xfId="0" applyFont="1" applyBorder="1" applyAlignment="1">
      <alignment horizontal="center" vertical="center"/>
    </xf>
    <xf numFmtId="0" fontId="72" fillId="0" borderId="26" xfId="0" applyFont="1" applyBorder="1" applyAlignment="1">
      <alignment horizontal="center" vertical="center" wrapText="1"/>
    </xf>
    <xf numFmtId="0" fontId="71" fillId="39" borderId="30" xfId="0" applyFont="1" applyFill="1" applyBorder="1" applyAlignment="1">
      <alignment horizontal="center" vertical="center"/>
    </xf>
    <xf numFmtId="0" fontId="71" fillId="0" borderId="31" xfId="0" applyFont="1" applyBorder="1" applyAlignment="1">
      <alignment vertical="center"/>
    </xf>
    <xf numFmtId="0" fontId="38" fillId="0" borderId="31" xfId="0" applyFont="1" applyBorder="1" applyAlignment="1">
      <alignment horizontal="center" vertical="center"/>
    </xf>
    <xf numFmtId="0" fontId="71" fillId="39" borderId="31" xfId="0" applyFont="1" applyFill="1" applyBorder="1" applyAlignment="1">
      <alignment horizontal="center" vertical="center"/>
    </xf>
    <xf numFmtId="0" fontId="38" fillId="0" borderId="31" xfId="0" applyFont="1" applyBorder="1" applyAlignment="1">
      <alignment vertical="center"/>
    </xf>
    <xf numFmtId="0" fontId="51" fillId="0" borderId="30" xfId="0" applyFont="1" applyBorder="1" applyAlignment="1">
      <alignment horizontal="center" vertical="center"/>
    </xf>
    <xf numFmtId="0" fontId="38" fillId="0" borderId="31" xfId="0" applyFont="1" applyBorder="1" applyAlignment="1">
      <alignment horizontal="right" vertical="center"/>
    </xf>
    <xf numFmtId="0" fontId="68" fillId="0" borderId="31" xfId="0" applyFont="1" applyBorder="1" applyAlignment="1">
      <alignment horizontal="center" vertical="center"/>
    </xf>
    <xf numFmtId="0" fontId="73" fillId="0" borderId="0" xfId="0" applyFont="1"/>
    <xf numFmtId="0" fontId="73" fillId="0" borderId="1" xfId="0" applyFont="1" applyBorder="1" applyAlignment="1">
      <alignment horizontal="center" vertical="center"/>
    </xf>
    <xf numFmtId="0" fontId="73" fillId="0" borderId="26" xfId="0" applyFont="1" applyBorder="1" applyAlignment="1">
      <alignment vertical="center"/>
    </xf>
    <xf numFmtId="0" fontId="73" fillId="0" borderId="26" xfId="0" applyFont="1" applyBorder="1" applyAlignment="1">
      <alignment horizontal="center" vertical="center"/>
    </xf>
    <xf numFmtId="0" fontId="70" fillId="0" borderId="0" xfId="0" applyFont="1" applyAlignment="1">
      <alignment vertical="center"/>
    </xf>
    <xf numFmtId="0" fontId="16" fillId="0" borderId="0" xfId="0" applyFont="1" applyAlignment="1">
      <alignment horizontal="center" vertical="center" wrapText="1"/>
    </xf>
    <xf numFmtId="0" fontId="34" fillId="0" borderId="0" xfId="0" applyFont="1" applyAlignment="1">
      <alignment horizontal="center"/>
    </xf>
    <xf numFmtId="0" fontId="23" fillId="0" borderId="0" xfId="0" applyFont="1" applyAlignment="1">
      <alignment horizontal="center"/>
    </xf>
    <xf numFmtId="2" fontId="33" fillId="0" borderId="0" xfId="0" applyNumberFormat="1" applyFont="1" applyAlignment="1">
      <alignment horizontal="center"/>
    </xf>
    <xf numFmtId="2" fontId="66" fillId="0" borderId="0" xfId="0" applyNumberFormat="1" applyFont="1" applyAlignment="1">
      <alignment horizontal="center"/>
    </xf>
    <xf numFmtId="0" fontId="22" fillId="0" borderId="0" xfId="0" applyFont="1"/>
    <xf numFmtId="0" fontId="22" fillId="8" borderId="0" xfId="0" applyFont="1" applyFill="1"/>
    <xf numFmtId="2" fontId="23" fillId="0" borderId="0" xfId="0" applyNumberFormat="1" applyFont="1" applyAlignment="1">
      <alignment horizontal="center"/>
    </xf>
    <xf numFmtId="0" fontId="30" fillId="0" borderId="0" xfId="0" applyFont="1" applyAlignment="1">
      <alignment horizontal="center"/>
    </xf>
    <xf numFmtId="2" fontId="25" fillId="0" borderId="0" xfId="0" applyNumberFormat="1" applyFont="1" applyAlignment="1">
      <alignment horizontal="center"/>
    </xf>
    <xf numFmtId="0" fontId="66" fillId="0" borderId="0" xfId="0" applyFont="1" applyAlignment="1">
      <alignment horizontal="center"/>
    </xf>
    <xf numFmtId="2" fontId="27" fillId="0" borderId="0" xfId="0" applyNumberFormat="1" applyFont="1" applyAlignment="1">
      <alignment horizontal="center"/>
    </xf>
    <xf numFmtId="0" fontId="27" fillId="0" borderId="0" xfId="0" applyFont="1" applyAlignment="1">
      <alignment horizontal="center"/>
    </xf>
  </cellXfs>
  <cellStyles count="5">
    <cellStyle name="Hipervínculo" xfId="1" builtinId="8"/>
    <cellStyle name="Moneda" xfId="3" builtinId="4"/>
    <cellStyle name="Normal" xfId="0" builtinId="0"/>
    <cellStyle name="Normal 2" xfId="2" xr:uid="{00000000-0005-0000-0000-000003000000}"/>
    <cellStyle name="Porcentaje" xfId="4" builtinId="5"/>
  </cellStyles>
  <dxfs count="10">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s>
  <tableStyles count="0" defaultTableStyle="TableStyleMedium2" defaultPivotStyle="PivotStyleLight16"/>
  <colors>
    <mruColors>
      <color rgb="FFA50021"/>
      <color rgb="FFF6DAF5"/>
      <color rgb="FFC0E4F8"/>
      <color rgb="FFFF99FF"/>
      <color rgb="FF4C23F9"/>
      <color rgb="FFFFDDF6"/>
      <color rgb="FFCCCCFF"/>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hyperlink" Target="#'SWT-A-O'!&#193;rea_de_impresi&#243;n"/><Relationship Id="rId2" Type="http://schemas.openxmlformats.org/officeDocument/2006/relationships/image" Target="../media/image1.png"/><Relationship Id="rId1" Type="http://schemas.openxmlformats.org/officeDocument/2006/relationships/hyperlink" Target="#'SWT-E-O'!Print_Area"/><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118588</xdr:colOff>
      <xdr:row>5</xdr:row>
      <xdr:rowOff>535779</xdr:rowOff>
    </xdr:from>
    <xdr:to>
      <xdr:col>8</xdr:col>
      <xdr:colOff>650407</xdr:colOff>
      <xdr:row>36</xdr:row>
      <xdr:rowOff>0</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09213" y="1416842"/>
          <a:ext cx="7747007" cy="5810252"/>
        </a:xfrm>
        <a:prstGeom prst="rect">
          <a:avLst/>
        </a:prstGeom>
      </xdr:spPr>
    </xdr:pic>
    <xdr:clientData/>
  </xdr:twoCellAnchor>
  <xdr:twoCellAnchor editAs="oneCell">
    <xdr:from>
      <xdr:col>8</xdr:col>
      <xdr:colOff>1399381</xdr:colOff>
      <xdr:row>5</xdr:row>
      <xdr:rowOff>114777</xdr:rowOff>
    </xdr:from>
    <xdr:to>
      <xdr:col>21</xdr:col>
      <xdr:colOff>26088</xdr:colOff>
      <xdr:row>36</xdr:row>
      <xdr:rowOff>142875</xdr:rowOff>
    </xdr:to>
    <xdr:pic>
      <xdr:nvPicPr>
        <xdr:cNvPr id="18" name="Imagen 17">
          <a:hlinkClick xmlns:r="http://schemas.openxmlformats.org/officeDocument/2006/relationships" r:id="rId3"/>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805194" y="995840"/>
          <a:ext cx="8544613" cy="63741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314324</xdr:colOff>
      <xdr:row>108</xdr:row>
      <xdr:rowOff>188119</xdr:rowOff>
    </xdr:from>
    <xdr:ext cx="1776357" cy="3960000"/>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611980" y="18809494"/>
          <a:ext cx="1776357" cy="3960000"/>
        </a:xfrm>
        <a:prstGeom prst="rect">
          <a:avLst/>
        </a:prstGeom>
      </xdr:spPr>
    </xdr:pic>
    <xdr:clientData/>
  </xdr:oneCellAnchor>
  <xdr:twoCellAnchor editAs="oneCell">
    <xdr:from>
      <xdr:col>8</xdr:col>
      <xdr:colOff>773906</xdr:colOff>
      <xdr:row>0</xdr:row>
      <xdr:rowOff>170656</xdr:rowOff>
    </xdr:from>
    <xdr:to>
      <xdr:col>11</xdr:col>
      <xdr:colOff>111738</xdr:colOff>
      <xdr:row>5</xdr:row>
      <xdr:rowOff>139979</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60239" y="170656"/>
          <a:ext cx="2470499" cy="865731"/>
        </a:xfrm>
        <a:prstGeom prst="rect">
          <a:avLst/>
        </a:prstGeom>
      </xdr:spPr>
    </xdr:pic>
    <xdr:clientData/>
  </xdr:twoCellAnchor>
  <xdr:twoCellAnchor editAs="oneCell">
    <xdr:from>
      <xdr:col>8</xdr:col>
      <xdr:colOff>690561</xdr:colOff>
      <xdr:row>96</xdr:row>
      <xdr:rowOff>35718</xdr:rowOff>
    </xdr:from>
    <xdr:to>
      <xdr:col>11</xdr:col>
      <xdr:colOff>31568</xdr:colOff>
      <xdr:row>101</xdr:row>
      <xdr:rowOff>16949</xdr:rowOff>
    </xdr:to>
    <xdr:pic>
      <xdr:nvPicPr>
        <xdr:cNvPr id="6" name="Imagen 5">
          <a:extLst>
            <a:ext uri="{FF2B5EF4-FFF2-40B4-BE49-F238E27FC236}">
              <a16:creationId xmlns:a16="http://schemas.microsoft.com/office/drawing/2014/main" id="{7165B371-8013-4202-90DF-8A1B663335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43999" y="16394906"/>
          <a:ext cx="2466000" cy="864673"/>
        </a:xfrm>
        <a:prstGeom prst="rect">
          <a:avLst/>
        </a:prstGeom>
      </xdr:spPr>
    </xdr:pic>
    <xdr:clientData/>
  </xdr:twoCellAnchor>
  <xdr:twoCellAnchor editAs="oneCell">
    <xdr:from>
      <xdr:col>8</xdr:col>
      <xdr:colOff>726280</xdr:colOff>
      <xdr:row>171</xdr:row>
      <xdr:rowOff>71438</xdr:rowOff>
    </xdr:from>
    <xdr:to>
      <xdr:col>11</xdr:col>
      <xdr:colOff>64112</xdr:colOff>
      <xdr:row>176</xdr:row>
      <xdr:rowOff>49491</xdr:rowOff>
    </xdr:to>
    <xdr:pic>
      <xdr:nvPicPr>
        <xdr:cNvPr id="7" name="Imagen 6">
          <a:extLst>
            <a:ext uri="{FF2B5EF4-FFF2-40B4-BE49-F238E27FC236}">
              <a16:creationId xmlns:a16="http://schemas.microsoft.com/office/drawing/2014/main" id="{B313154A-E935-42D2-85E6-143E6228B4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79718" y="29634657"/>
          <a:ext cx="2466000" cy="864673"/>
        </a:xfrm>
        <a:prstGeom prst="rect">
          <a:avLst/>
        </a:prstGeom>
      </xdr:spPr>
    </xdr:pic>
    <xdr:clientData/>
  </xdr:twoCellAnchor>
  <xdr:twoCellAnchor editAs="oneCell">
    <xdr:from>
      <xdr:col>5</xdr:col>
      <xdr:colOff>570443</xdr:colOff>
      <xdr:row>0</xdr:row>
      <xdr:rowOff>17318</xdr:rowOff>
    </xdr:from>
    <xdr:to>
      <xdr:col>8</xdr:col>
      <xdr:colOff>660110</xdr:colOff>
      <xdr:row>6</xdr:row>
      <xdr:rowOff>11835</xdr:rowOff>
    </xdr:to>
    <xdr:pic>
      <xdr:nvPicPr>
        <xdr:cNvPr id="2" name="Imagen 1">
          <a:extLst>
            <a:ext uri="{FF2B5EF4-FFF2-40B4-BE49-F238E27FC236}">
              <a16:creationId xmlns:a16="http://schemas.microsoft.com/office/drawing/2014/main" id="{D455C0E8-11E1-CBDC-D2AE-9A95513846C6}"/>
            </a:ext>
          </a:extLst>
        </xdr:cNvPr>
        <xdr:cNvPicPr>
          <a:picLocks noChangeAspect="1"/>
        </xdr:cNvPicPr>
      </xdr:nvPicPr>
      <xdr:blipFill>
        <a:blip xmlns:r="http://schemas.openxmlformats.org/officeDocument/2006/relationships" r:embed="rId5"/>
        <a:stretch>
          <a:fillRect/>
        </a:stretch>
      </xdr:blipFill>
      <xdr:spPr>
        <a:xfrm>
          <a:off x="7852738" y="17318"/>
          <a:ext cx="2412613" cy="1096531"/>
        </a:xfrm>
        <a:prstGeom prst="rect">
          <a:avLst/>
        </a:prstGeom>
      </xdr:spPr>
    </xdr:pic>
    <xdr:clientData/>
  </xdr:twoCellAnchor>
  <xdr:twoCellAnchor editAs="oneCell">
    <xdr:from>
      <xdr:col>5</xdr:col>
      <xdr:colOff>523875</xdr:colOff>
      <xdr:row>95</xdr:row>
      <xdr:rowOff>71437</xdr:rowOff>
    </xdr:from>
    <xdr:to>
      <xdr:col>8</xdr:col>
      <xdr:colOff>483392</xdr:colOff>
      <xdr:row>101</xdr:row>
      <xdr:rowOff>1</xdr:rowOff>
    </xdr:to>
    <xdr:pic>
      <xdr:nvPicPr>
        <xdr:cNvPr id="3" name="Imagen 2">
          <a:extLst>
            <a:ext uri="{FF2B5EF4-FFF2-40B4-BE49-F238E27FC236}">
              <a16:creationId xmlns:a16="http://schemas.microsoft.com/office/drawing/2014/main" id="{52879461-D57F-45FA-B23F-AC99951DEE4F}"/>
            </a:ext>
          </a:extLst>
        </xdr:cNvPr>
        <xdr:cNvPicPr>
          <a:picLocks noChangeAspect="1"/>
        </xdr:cNvPicPr>
      </xdr:nvPicPr>
      <xdr:blipFill>
        <a:blip xmlns:r="http://schemas.openxmlformats.org/officeDocument/2006/relationships" r:embed="rId5"/>
        <a:stretch>
          <a:fillRect/>
        </a:stretch>
      </xdr:blipFill>
      <xdr:spPr>
        <a:xfrm>
          <a:off x="6750844" y="16240125"/>
          <a:ext cx="2182812" cy="1012031"/>
        </a:xfrm>
        <a:prstGeom prst="rect">
          <a:avLst/>
        </a:prstGeom>
      </xdr:spPr>
    </xdr:pic>
    <xdr:clientData/>
  </xdr:twoCellAnchor>
  <xdr:twoCellAnchor editAs="oneCell">
    <xdr:from>
      <xdr:col>5</xdr:col>
      <xdr:colOff>559594</xdr:colOff>
      <xdr:row>170</xdr:row>
      <xdr:rowOff>59531</xdr:rowOff>
    </xdr:from>
    <xdr:to>
      <xdr:col>8</xdr:col>
      <xdr:colOff>515936</xdr:colOff>
      <xdr:row>175</xdr:row>
      <xdr:rowOff>169862</xdr:rowOff>
    </xdr:to>
    <xdr:pic>
      <xdr:nvPicPr>
        <xdr:cNvPr id="5" name="Imagen 4">
          <a:extLst>
            <a:ext uri="{FF2B5EF4-FFF2-40B4-BE49-F238E27FC236}">
              <a16:creationId xmlns:a16="http://schemas.microsoft.com/office/drawing/2014/main" id="{5820A1AB-8FB6-4132-8A12-48D32B53FCE8}"/>
            </a:ext>
          </a:extLst>
        </xdr:cNvPr>
        <xdr:cNvPicPr>
          <a:picLocks noChangeAspect="1"/>
        </xdr:cNvPicPr>
      </xdr:nvPicPr>
      <xdr:blipFill>
        <a:blip xmlns:r="http://schemas.openxmlformats.org/officeDocument/2006/relationships" r:embed="rId5"/>
        <a:stretch>
          <a:fillRect/>
        </a:stretch>
      </xdr:blipFill>
      <xdr:spPr>
        <a:xfrm>
          <a:off x="6786563" y="29456062"/>
          <a:ext cx="2182812" cy="10120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247650</xdr:colOff>
      <xdr:row>30</xdr:row>
      <xdr:rowOff>47625</xdr:rowOff>
    </xdr:from>
    <xdr:to>
      <xdr:col>16</xdr:col>
      <xdr:colOff>589840</xdr:colOff>
      <xdr:row>51</xdr:row>
      <xdr:rowOff>113801</xdr:rowOff>
    </xdr:to>
    <xdr:pic>
      <xdr:nvPicPr>
        <xdr:cNvPr id="3" name="Imagen 2">
          <a:extLst>
            <a:ext uri="{FF2B5EF4-FFF2-40B4-BE49-F238E27FC236}">
              <a16:creationId xmlns:a16="http://schemas.microsoft.com/office/drawing/2014/main" id="{BF97B965-8A8A-D847-DAAF-B8AAC32311BC}"/>
            </a:ext>
          </a:extLst>
        </xdr:cNvPr>
        <xdr:cNvPicPr>
          <a:picLocks noChangeAspect="1"/>
        </xdr:cNvPicPr>
      </xdr:nvPicPr>
      <xdr:blipFill>
        <a:blip xmlns:r="http://schemas.openxmlformats.org/officeDocument/2006/relationships" r:embed="rId1"/>
        <a:stretch>
          <a:fillRect/>
        </a:stretch>
      </xdr:blipFill>
      <xdr:spPr>
        <a:xfrm>
          <a:off x="12106275" y="5762625"/>
          <a:ext cx="5676190" cy="39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338137</xdr:colOff>
      <xdr:row>103</xdr:row>
      <xdr:rowOff>45244</xdr:rowOff>
    </xdr:from>
    <xdr:ext cx="1776357" cy="3960000"/>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642937" y="18264664"/>
          <a:ext cx="1776357" cy="3960000"/>
        </a:xfrm>
        <a:prstGeom prst="rect">
          <a:avLst/>
        </a:prstGeom>
      </xdr:spPr>
    </xdr:pic>
    <xdr:clientData/>
  </xdr:oneCellAnchor>
  <xdr:twoCellAnchor editAs="oneCell">
    <xdr:from>
      <xdr:col>8</xdr:col>
      <xdr:colOff>714378</xdr:colOff>
      <xdr:row>1</xdr:row>
      <xdr:rowOff>0</xdr:rowOff>
    </xdr:from>
    <xdr:to>
      <xdr:col>11</xdr:col>
      <xdr:colOff>55384</xdr:colOff>
      <xdr:row>5</xdr:row>
      <xdr:rowOff>150298</xdr:rowOff>
    </xdr:to>
    <xdr:pic>
      <xdr:nvPicPr>
        <xdr:cNvPr id="9" name="Imagen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44003" y="190500"/>
          <a:ext cx="2466000" cy="864673"/>
        </a:xfrm>
        <a:prstGeom prst="rect">
          <a:avLst/>
        </a:prstGeom>
      </xdr:spPr>
    </xdr:pic>
    <xdr:clientData/>
  </xdr:twoCellAnchor>
  <xdr:twoCellAnchor editAs="oneCell">
    <xdr:from>
      <xdr:col>8</xdr:col>
      <xdr:colOff>619125</xdr:colOff>
      <xdr:row>92</xdr:row>
      <xdr:rowOff>59532</xdr:rowOff>
    </xdr:from>
    <xdr:to>
      <xdr:col>10</xdr:col>
      <xdr:colOff>1174569</xdr:colOff>
      <xdr:row>97</xdr:row>
      <xdr:rowOff>31237</xdr:rowOff>
    </xdr:to>
    <xdr:pic>
      <xdr:nvPicPr>
        <xdr:cNvPr id="7" name="Imagen 6">
          <a:extLst>
            <a:ext uri="{FF2B5EF4-FFF2-40B4-BE49-F238E27FC236}">
              <a16:creationId xmlns:a16="http://schemas.microsoft.com/office/drawing/2014/main" id="{86CC9DE5-6C8A-4431-9D95-6726D686F9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48750" y="16168688"/>
          <a:ext cx="2466000" cy="864673"/>
        </a:xfrm>
        <a:prstGeom prst="rect">
          <a:avLst/>
        </a:prstGeom>
      </xdr:spPr>
    </xdr:pic>
    <xdr:clientData/>
  </xdr:twoCellAnchor>
  <xdr:twoCellAnchor editAs="oneCell">
    <xdr:from>
      <xdr:col>8</xdr:col>
      <xdr:colOff>631032</xdr:colOff>
      <xdr:row>167</xdr:row>
      <xdr:rowOff>47625</xdr:rowOff>
    </xdr:from>
    <xdr:to>
      <xdr:col>10</xdr:col>
      <xdr:colOff>1180126</xdr:colOff>
      <xdr:row>172</xdr:row>
      <xdr:rowOff>19329</xdr:rowOff>
    </xdr:to>
    <xdr:pic>
      <xdr:nvPicPr>
        <xdr:cNvPr id="10" name="Imagen 9">
          <a:extLst>
            <a:ext uri="{FF2B5EF4-FFF2-40B4-BE49-F238E27FC236}">
              <a16:creationId xmlns:a16="http://schemas.microsoft.com/office/drawing/2014/main" id="{C3B9942C-F9AE-4B97-8C91-2B42A7B766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60657" y="29348906"/>
          <a:ext cx="2466000" cy="864673"/>
        </a:xfrm>
        <a:prstGeom prst="rect">
          <a:avLst/>
        </a:prstGeom>
      </xdr:spPr>
    </xdr:pic>
    <xdr:clientData/>
  </xdr:twoCellAnchor>
  <xdr:twoCellAnchor editAs="oneCell">
    <xdr:from>
      <xdr:col>5</xdr:col>
      <xdr:colOff>511969</xdr:colOff>
      <xdr:row>0</xdr:row>
      <xdr:rowOff>35719</xdr:rowOff>
    </xdr:from>
    <xdr:to>
      <xdr:col>8</xdr:col>
      <xdr:colOff>492125</xdr:colOff>
      <xdr:row>5</xdr:row>
      <xdr:rowOff>149225</xdr:rowOff>
    </xdr:to>
    <xdr:pic>
      <xdr:nvPicPr>
        <xdr:cNvPr id="2" name="Imagen 1">
          <a:extLst>
            <a:ext uri="{FF2B5EF4-FFF2-40B4-BE49-F238E27FC236}">
              <a16:creationId xmlns:a16="http://schemas.microsoft.com/office/drawing/2014/main" id="{FE3EC9EF-66DC-497C-8FE1-F9C10BE00D5F}"/>
            </a:ext>
          </a:extLst>
        </xdr:cNvPr>
        <xdr:cNvPicPr>
          <a:picLocks noChangeAspect="1"/>
        </xdr:cNvPicPr>
      </xdr:nvPicPr>
      <xdr:blipFill>
        <a:blip xmlns:r="http://schemas.openxmlformats.org/officeDocument/2006/relationships" r:embed="rId3"/>
        <a:stretch>
          <a:fillRect/>
        </a:stretch>
      </xdr:blipFill>
      <xdr:spPr>
        <a:xfrm>
          <a:off x="6738938" y="35719"/>
          <a:ext cx="2182812" cy="1012031"/>
        </a:xfrm>
        <a:prstGeom prst="rect">
          <a:avLst/>
        </a:prstGeom>
      </xdr:spPr>
    </xdr:pic>
    <xdr:clientData/>
  </xdr:twoCellAnchor>
  <xdr:twoCellAnchor editAs="oneCell">
    <xdr:from>
      <xdr:col>5</xdr:col>
      <xdr:colOff>488157</xdr:colOff>
      <xdr:row>91</xdr:row>
      <xdr:rowOff>23812</xdr:rowOff>
    </xdr:from>
    <xdr:to>
      <xdr:col>8</xdr:col>
      <xdr:colOff>468313</xdr:colOff>
      <xdr:row>96</xdr:row>
      <xdr:rowOff>130968</xdr:rowOff>
    </xdr:to>
    <xdr:pic>
      <xdr:nvPicPr>
        <xdr:cNvPr id="4" name="Imagen 3">
          <a:extLst>
            <a:ext uri="{FF2B5EF4-FFF2-40B4-BE49-F238E27FC236}">
              <a16:creationId xmlns:a16="http://schemas.microsoft.com/office/drawing/2014/main" id="{1A5FEA22-725B-4C1F-8438-7C8D5FE1DCDC}"/>
            </a:ext>
          </a:extLst>
        </xdr:cNvPr>
        <xdr:cNvPicPr>
          <a:picLocks noChangeAspect="1"/>
        </xdr:cNvPicPr>
      </xdr:nvPicPr>
      <xdr:blipFill>
        <a:blip xmlns:r="http://schemas.openxmlformats.org/officeDocument/2006/relationships" r:embed="rId3"/>
        <a:stretch>
          <a:fillRect/>
        </a:stretch>
      </xdr:blipFill>
      <xdr:spPr>
        <a:xfrm>
          <a:off x="6715126" y="15942468"/>
          <a:ext cx="2182812" cy="1012031"/>
        </a:xfrm>
        <a:prstGeom prst="rect">
          <a:avLst/>
        </a:prstGeom>
      </xdr:spPr>
    </xdr:pic>
    <xdr:clientData/>
  </xdr:twoCellAnchor>
  <xdr:twoCellAnchor editAs="oneCell">
    <xdr:from>
      <xdr:col>5</xdr:col>
      <xdr:colOff>523874</xdr:colOff>
      <xdr:row>166</xdr:row>
      <xdr:rowOff>59531</xdr:rowOff>
    </xdr:from>
    <xdr:to>
      <xdr:col>8</xdr:col>
      <xdr:colOff>507205</xdr:colOff>
      <xdr:row>171</xdr:row>
      <xdr:rowOff>169862</xdr:rowOff>
    </xdr:to>
    <xdr:pic>
      <xdr:nvPicPr>
        <xdr:cNvPr id="5" name="Imagen 4">
          <a:extLst>
            <a:ext uri="{FF2B5EF4-FFF2-40B4-BE49-F238E27FC236}">
              <a16:creationId xmlns:a16="http://schemas.microsoft.com/office/drawing/2014/main" id="{E4E4D5D4-1829-490C-9D15-A0A9664583CF}"/>
            </a:ext>
          </a:extLst>
        </xdr:cNvPr>
        <xdr:cNvPicPr>
          <a:picLocks noChangeAspect="1"/>
        </xdr:cNvPicPr>
      </xdr:nvPicPr>
      <xdr:blipFill>
        <a:blip xmlns:r="http://schemas.openxmlformats.org/officeDocument/2006/relationships" r:embed="rId3"/>
        <a:stretch>
          <a:fillRect/>
        </a:stretch>
      </xdr:blipFill>
      <xdr:spPr>
        <a:xfrm>
          <a:off x="6750843" y="29170312"/>
          <a:ext cx="2182812" cy="10120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0362226/Desktop/presupuestos%202024/PresupuestosFachadas%20(ene%20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0362226\Downloads\PresupuestosFachadas%20(ene%202025)%203.xlsx" TargetMode="External"/><Relationship Id="rId1" Type="http://schemas.openxmlformats.org/officeDocument/2006/relationships/externalLinkPath" Target="PresupuestosFachadas%20(ene%202025)%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J_2"/>
      <sheetName val="EXTRA"/>
      <sheetName val="FACHADAS"/>
      <sheetName val="SWT-E-O"/>
      <sheetName val="SWT-E-CV"/>
      <sheetName val="SWT-E-CE"/>
      <sheetName val="SWT-A-O"/>
      <sheetName val="SWT-A-CV"/>
      <sheetName val="SWT-A-CE"/>
      <sheetName val="SWT-N-O"/>
      <sheetName val="SWT-N-CV"/>
      <sheetName val="SWT-N-CE"/>
      <sheetName val="SWT-M-O"/>
      <sheetName val="SWT-M-CV"/>
      <sheetName val="SWT-M-CE"/>
      <sheetName val="SWT-M-CG"/>
      <sheetName val="ZOC"/>
      <sheetName val="SWT-CP-EPS"/>
      <sheetName val="SWT-CO-EPS"/>
      <sheetName val="SWT-CP-AIS"/>
      <sheetName val="SWT-CO-AIS"/>
      <sheetName val="SWT-CI-O"/>
      <sheetName val="SWR-T-O "/>
      <sheetName val="SWR-T-CV"/>
      <sheetName val="SWR-T-CE"/>
      <sheetName val="SWR-T-CG"/>
      <sheetName val="SWR-A-O"/>
      <sheetName val="SWR-A-CV"/>
      <sheetName val="SWR-A-CE"/>
      <sheetName val="SWR-A-CL"/>
      <sheetName val="SWR-C-CL"/>
      <sheetName val="SWR-C-CR"/>
      <sheetName val="SWT-R-O"/>
      <sheetName val="SWT-R-CL"/>
      <sheetName val="SWT-R-C"/>
      <sheetName val="NATURA"/>
      <sheetName val="Listas-2"/>
      <sheetName val="Espesores"/>
      <sheetName val="SIS"/>
      <sheetName val="AIS"/>
      <sheetName val="ADH"/>
      <sheetName val="FIJ_1"/>
      <sheetName val="Lista - memorias"/>
      <sheetName val="REF"/>
      <sheetName val="REV"/>
      <sheetName val="Listas-1"/>
      <sheetName val="calend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
          <cell r="B3">
            <v>10</v>
          </cell>
          <cell r="C3">
            <v>10</v>
          </cell>
        </row>
        <row r="4">
          <cell r="B4">
            <v>15</v>
          </cell>
          <cell r="C4">
            <v>11</v>
          </cell>
        </row>
        <row r="5">
          <cell r="B5">
            <v>20</v>
          </cell>
          <cell r="C5">
            <v>12</v>
          </cell>
        </row>
        <row r="6">
          <cell r="B6">
            <v>25</v>
          </cell>
          <cell r="C6">
            <v>13</v>
          </cell>
        </row>
        <row r="7">
          <cell r="B7">
            <v>30</v>
          </cell>
          <cell r="C7">
            <v>14</v>
          </cell>
        </row>
        <row r="8">
          <cell r="C8">
            <v>15</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J_2"/>
      <sheetName val="EXTRA"/>
      <sheetName val="FACHADAS"/>
      <sheetName val="SWT-E-O"/>
      <sheetName val="SWT-E-CV"/>
      <sheetName val="SWT-E-CE"/>
      <sheetName val="SWT-A-O"/>
      <sheetName val="SWT-A-CV"/>
      <sheetName val="SWT-A-CE"/>
      <sheetName val="SWT-N-O"/>
      <sheetName val="SWT-N-CV"/>
      <sheetName val="SWT-N-CE"/>
      <sheetName val="SWT-AL-O"/>
      <sheetName val="SWT-AL-CE"/>
      <sheetName val="SWT-AL-CV"/>
      <sheetName val="ADH"/>
      <sheetName val="SIS"/>
      <sheetName val="SWT-M-O"/>
      <sheetName val="SWT-M-CV"/>
      <sheetName val="SWT-M-CE"/>
      <sheetName val="SWT-M-CG"/>
      <sheetName val="ZOC"/>
      <sheetName val="SWT-CP-EPS"/>
      <sheetName val="SWT-CO-EPS"/>
      <sheetName val="SWT-CP-AIS"/>
      <sheetName val="SWT-CO-AIS"/>
      <sheetName val="SWT-CI-O"/>
      <sheetName val="SWR-T-O "/>
      <sheetName val="SWR-T-CV"/>
      <sheetName val="SWR-T-CE"/>
      <sheetName val="SWR-T-CG"/>
      <sheetName val="SWR-A-O"/>
      <sheetName val="SWR-A-CV"/>
      <sheetName val="SWR-A-CE"/>
      <sheetName val="SWR-A-CL"/>
      <sheetName val="SWR-C-CL"/>
      <sheetName val="SWR-C-CR"/>
      <sheetName val="SWT-R-O"/>
      <sheetName val="SWT-R-CL"/>
      <sheetName val="SWT-R-C"/>
      <sheetName val="Tarifa 2025"/>
      <sheetName val="REV"/>
      <sheetName val="NATURA"/>
      <sheetName val="Espesores"/>
      <sheetName val="AIS"/>
      <sheetName val="FIJ_1"/>
      <sheetName val="Listas-1"/>
      <sheetName val="Lista - memorias"/>
      <sheetName val="REF"/>
      <sheetName val="calend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B3">
            <v>10</v>
          </cell>
          <cell r="C3">
            <v>10</v>
          </cell>
        </row>
        <row r="4">
          <cell r="B4">
            <v>15</v>
          </cell>
          <cell r="C4">
            <v>11</v>
          </cell>
        </row>
        <row r="5">
          <cell r="B5">
            <v>20</v>
          </cell>
          <cell r="C5">
            <v>12</v>
          </cell>
        </row>
        <row r="6">
          <cell r="B6">
            <v>25</v>
          </cell>
          <cell r="C6">
            <v>13</v>
          </cell>
        </row>
        <row r="7">
          <cell r="B7">
            <v>30</v>
          </cell>
          <cell r="C7">
            <v>14</v>
          </cell>
        </row>
        <row r="8">
          <cell r="C8">
            <v>15</v>
          </cell>
        </row>
      </sheetData>
      <sheetData sheetId="44"/>
      <sheetData sheetId="45"/>
      <sheetData sheetId="46"/>
      <sheetData sheetId="47"/>
      <sheetData sheetId="48"/>
      <sheetData sheetId="49"/>
    </sheetDataSet>
  </externalBook>
</externalLink>
</file>

<file path=xl/persons/person.xml><?xml version="1.0" encoding="utf-8"?>
<personList xmlns="http://schemas.microsoft.com/office/spreadsheetml/2018/threadedcomments" xmlns:x="http://schemas.openxmlformats.org/spreadsheetml/2006/main">
  <person displayName="Akhrif, Hanan" id="{76535F36-282D-4AF9-A154-F21C24D5B4A7}" userId="S::HANAN.AKHRIF@saint-gobain.com::345440e5-9a89-4397-8c08-7d0fb7e730a8"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5" dT="2023-04-17T14:53:04.69" personId="{76535F36-282D-4AF9-A154-F21C24D5B4A7}" id="{093C8168-62B9-4A4C-B2EE-D6060201F817}">
    <text>Introducir coste manualmente</text>
  </threadedComment>
</ThreadedComments>
</file>

<file path=xl/threadedComments/threadedComment2.xml><?xml version="1.0" encoding="utf-8"?>
<ThreadedComments xmlns="http://schemas.microsoft.com/office/spreadsheetml/2018/threadedcomments" xmlns:x="http://schemas.openxmlformats.org/spreadsheetml/2006/main">
  <threadedComment ref="B26" dT="2023-04-17T14:53:04.69" personId="{76535F36-282D-4AF9-A154-F21C24D5B4A7}" id="{B94A96DA-47B9-43A5-A22C-0EDFFBCE6DE7}">
    <text>Introducir coste manualmente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3:G66"/>
  <sheetViews>
    <sheetView workbookViewId="0"/>
  </sheetViews>
  <sheetFormatPr baseColWidth="10" defaultColWidth="11.453125" defaultRowHeight="14.5"/>
  <cols>
    <col min="1" max="1" width="2" customWidth="1"/>
    <col min="3" max="3" width="27.26953125" bestFit="1" customWidth="1"/>
    <col min="4" max="4" width="6.7265625" bestFit="1" customWidth="1"/>
    <col min="5" max="5" width="8" bestFit="1" customWidth="1"/>
    <col min="6" max="6" width="13.7265625" bestFit="1" customWidth="1"/>
    <col min="7" max="7" width="30.26953125" bestFit="1" customWidth="1"/>
    <col min="8" max="8" width="27.453125" bestFit="1" customWidth="1"/>
  </cols>
  <sheetData>
    <row r="3" spans="3:7">
      <c r="C3" s="54" t="s">
        <v>243</v>
      </c>
      <c r="D3" s="54" t="s">
        <v>244</v>
      </c>
      <c r="E3" s="54" t="s">
        <v>245</v>
      </c>
      <c r="F3" s="54" t="s">
        <v>246</v>
      </c>
      <c r="G3" s="54"/>
    </row>
    <row r="4" spans="3:7">
      <c r="C4" s="55" t="s">
        <v>247</v>
      </c>
      <c r="E4" s="55" t="s">
        <v>248</v>
      </c>
    </row>
    <row r="5" spans="3:7">
      <c r="C5" t="str">
        <f>CONCATENATE(D5,"-",E5,"-",F5)</f>
        <v>SLD-5-20-Obra nueva</v>
      </c>
      <c r="D5" s="55" t="s">
        <v>249</v>
      </c>
      <c r="E5" s="55">
        <v>20</v>
      </c>
      <c r="F5" t="s">
        <v>250</v>
      </c>
      <c r="G5" s="56"/>
    </row>
    <row r="6" spans="3:7">
      <c r="C6" t="str">
        <f t="shared" ref="C6:C64" si="0">CONCATENATE(D6,"-",E6,"-",F6)</f>
        <v>SLD-5-40-Obra nueva</v>
      </c>
      <c r="D6" s="55" t="s">
        <v>249</v>
      </c>
      <c r="E6" s="55">
        <v>40</v>
      </c>
      <c r="F6" t="s">
        <v>250</v>
      </c>
      <c r="G6" s="56"/>
    </row>
    <row r="7" spans="3:7">
      <c r="C7" t="str">
        <f t="shared" si="0"/>
        <v>SLD-5-60-Obra nueva</v>
      </c>
      <c r="D7" s="55" t="s">
        <v>249</v>
      </c>
      <c r="E7" s="55">
        <v>60</v>
      </c>
      <c r="F7" t="s">
        <v>250</v>
      </c>
      <c r="G7" s="56" t="s">
        <v>251</v>
      </c>
    </row>
    <row r="8" spans="3:7">
      <c r="C8" t="str">
        <f t="shared" si="0"/>
        <v>SLD-5-80-Obra nueva</v>
      </c>
      <c r="D8" s="55" t="s">
        <v>249</v>
      </c>
      <c r="E8" s="55">
        <v>80</v>
      </c>
      <c r="F8" t="s">
        <v>250</v>
      </c>
      <c r="G8" s="56" t="s">
        <v>252</v>
      </c>
    </row>
    <row r="9" spans="3:7">
      <c r="C9" t="str">
        <f t="shared" si="0"/>
        <v>SLD-5-100-Obra nueva</v>
      </c>
      <c r="D9" s="55" t="s">
        <v>249</v>
      </c>
      <c r="E9" s="55">
        <v>100</v>
      </c>
      <c r="F9" t="s">
        <v>250</v>
      </c>
      <c r="G9" s="56" t="s">
        <v>253</v>
      </c>
    </row>
    <row r="10" spans="3:7">
      <c r="C10" t="str">
        <f t="shared" si="0"/>
        <v>SLD-5-120-Obra nueva</v>
      </c>
      <c r="D10" s="55" t="s">
        <v>249</v>
      </c>
      <c r="E10" s="55">
        <v>120</v>
      </c>
      <c r="F10" t="s">
        <v>250</v>
      </c>
      <c r="G10" s="56" t="s">
        <v>254</v>
      </c>
    </row>
    <row r="11" spans="3:7">
      <c r="C11" t="str">
        <f t="shared" si="0"/>
        <v>SLD-5-140-Obra nueva</v>
      </c>
      <c r="D11" s="55" t="s">
        <v>249</v>
      </c>
      <c r="E11" s="55">
        <v>140</v>
      </c>
      <c r="F11" t="s">
        <v>250</v>
      </c>
      <c r="G11" s="56" t="s">
        <v>255</v>
      </c>
    </row>
    <row r="12" spans="3:7">
      <c r="C12" t="str">
        <f t="shared" si="0"/>
        <v>SLD-5-160-Obra nueva</v>
      </c>
      <c r="D12" s="55" t="s">
        <v>249</v>
      </c>
      <c r="E12" s="55">
        <v>160</v>
      </c>
      <c r="F12" t="s">
        <v>250</v>
      </c>
      <c r="G12" s="56" t="s">
        <v>256</v>
      </c>
    </row>
    <row r="13" spans="3:7">
      <c r="C13" t="str">
        <f t="shared" si="0"/>
        <v>SLD-5-20-Rehabilitación</v>
      </c>
      <c r="D13" s="55" t="s">
        <v>249</v>
      </c>
      <c r="E13" s="55">
        <v>20</v>
      </c>
      <c r="F13" t="s">
        <v>257</v>
      </c>
      <c r="G13" s="56"/>
    </row>
    <row r="14" spans="3:7">
      <c r="C14" t="str">
        <f t="shared" si="0"/>
        <v>SLD-5-40-Rehabilitación</v>
      </c>
      <c r="D14" s="55" t="s">
        <v>249</v>
      </c>
      <c r="E14" s="55">
        <v>40</v>
      </c>
      <c r="F14" t="s">
        <v>257</v>
      </c>
      <c r="G14" s="56" t="s">
        <v>251</v>
      </c>
    </row>
    <row r="15" spans="3:7">
      <c r="C15" t="str">
        <f t="shared" si="0"/>
        <v>SLD-5-60-Rehabilitación</v>
      </c>
      <c r="D15" s="55" t="s">
        <v>249</v>
      </c>
      <c r="E15" s="55">
        <v>60</v>
      </c>
      <c r="F15" t="s">
        <v>257</v>
      </c>
      <c r="G15" s="56" t="s">
        <v>252</v>
      </c>
    </row>
    <row r="16" spans="3:7">
      <c r="C16" t="str">
        <f t="shared" si="0"/>
        <v>SLD-5-80-Rehabilitación</v>
      </c>
      <c r="D16" s="55" t="s">
        <v>249</v>
      </c>
      <c r="E16" s="55">
        <v>80</v>
      </c>
      <c r="F16" t="s">
        <v>257</v>
      </c>
      <c r="G16" s="56" t="s">
        <v>253</v>
      </c>
    </row>
    <row r="17" spans="1:7">
      <c r="C17" t="str">
        <f t="shared" si="0"/>
        <v>SLD-5-100-Rehabilitación</v>
      </c>
      <c r="D17" s="55" t="s">
        <v>249</v>
      </c>
      <c r="E17" s="55">
        <v>100</v>
      </c>
      <c r="F17" t="s">
        <v>257</v>
      </c>
      <c r="G17" s="56" t="s">
        <v>254</v>
      </c>
    </row>
    <row r="18" spans="1:7">
      <c r="A18" s="55"/>
      <c r="C18" t="str">
        <f t="shared" si="0"/>
        <v>SLD-5-120-Rehabilitación</v>
      </c>
      <c r="D18" s="55" t="s">
        <v>249</v>
      </c>
      <c r="E18" s="55">
        <v>120</v>
      </c>
      <c r="F18" t="s">
        <v>257</v>
      </c>
      <c r="G18" s="56" t="s">
        <v>255</v>
      </c>
    </row>
    <row r="19" spans="1:7">
      <c r="A19" s="55"/>
      <c r="C19" t="str">
        <f t="shared" si="0"/>
        <v>SLD-5-140-Rehabilitación</v>
      </c>
      <c r="D19" s="55" t="s">
        <v>249</v>
      </c>
      <c r="E19" s="55">
        <v>140</v>
      </c>
      <c r="F19" t="s">
        <v>257</v>
      </c>
      <c r="G19" s="56" t="s">
        <v>256</v>
      </c>
    </row>
    <row r="20" spans="1:7">
      <c r="A20" s="55"/>
      <c r="C20" t="str">
        <f t="shared" si="0"/>
        <v>SLD-5-160-Rehabilitación</v>
      </c>
      <c r="D20" s="55" t="s">
        <v>249</v>
      </c>
      <c r="E20" s="55">
        <v>160</v>
      </c>
      <c r="F20" t="s">
        <v>257</v>
      </c>
      <c r="G20" s="56"/>
    </row>
    <row r="21" spans="1:7">
      <c r="A21" s="55"/>
      <c r="C21" t="str">
        <f t="shared" si="0"/>
        <v>SRD-5-20-Obra nueva</v>
      </c>
      <c r="D21" s="55" t="s">
        <v>258</v>
      </c>
      <c r="E21" s="55">
        <v>20</v>
      </c>
      <c r="F21" t="s">
        <v>250</v>
      </c>
      <c r="G21" s="56"/>
    </row>
    <row r="22" spans="1:7">
      <c r="A22" s="55"/>
      <c r="C22" t="str">
        <f t="shared" si="0"/>
        <v>SRD-5-40-Obra nueva</v>
      </c>
      <c r="D22" s="55" t="s">
        <v>258</v>
      </c>
      <c r="E22" s="55">
        <v>40</v>
      </c>
      <c r="F22" t="s">
        <v>250</v>
      </c>
      <c r="G22" s="56"/>
    </row>
    <row r="23" spans="1:7">
      <c r="A23" s="55"/>
      <c r="C23" t="str">
        <f t="shared" si="0"/>
        <v>SRD-5-60-Obra nueva</v>
      </c>
      <c r="D23" s="55" t="s">
        <v>258</v>
      </c>
      <c r="E23" s="55">
        <v>60</v>
      </c>
      <c r="F23" t="s">
        <v>250</v>
      </c>
      <c r="G23" s="56"/>
    </row>
    <row r="24" spans="1:7">
      <c r="A24" s="55"/>
      <c r="C24" t="str">
        <f t="shared" si="0"/>
        <v>SRD-5-80-Obra nueva</v>
      </c>
      <c r="D24" s="55" t="s">
        <v>258</v>
      </c>
      <c r="E24" s="55">
        <v>80</v>
      </c>
      <c r="F24" t="s">
        <v>250</v>
      </c>
      <c r="G24" s="56" t="s">
        <v>252</v>
      </c>
    </row>
    <row r="25" spans="1:7">
      <c r="A25" s="55"/>
      <c r="C25" t="str">
        <f t="shared" si="0"/>
        <v>SRD-5-100-Obra nueva</v>
      </c>
      <c r="D25" s="55" t="s">
        <v>258</v>
      </c>
      <c r="E25" s="55">
        <v>100</v>
      </c>
      <c r="F25" t="s">
        <v>250</v>
      </c>
      <c r="G25" s="56" t="s">
        <v>253</v>
      </c>
    </row>
    <row r="26" spans="1:7">
      <c r="A26" s="55"/>
      <c r="C26" t="str">
        <f t="shared" si="0"/>
        <v>SRD-5-120-Obra nueva</v>
      </c>
      <c r="D26" s="55" t="s">
        <v>258</v>
      </c>
      <c r="E26" s="55">
        <v>120</v>
      </c>
      <c r="F26" t="s">
        <v>250</v>
      </c>
      <c r="G26" s="56" t="s">
        <v>254</v>
      </c>
    </row>
    <row r="27" spans="1:7">
      <c r="A27" s="55"/>
      <c r="C27" t="str">
        <f t="shared" si="0"/>
        <v>SRD-5-140-Obra nueva</v>
      </c>
      <c r="D27" s="55" t="s">
        <v>258</v>
      </c>
      <c r="E27" s="55">
        <v>140</v>
      </c>
      <c r="F27" t="s">
        <v>250</v>
      </c>
      <c r="G27" s="56" t="s">
        <v>255</v>
      </c>
    </row>
    <row r="28" spans="1:7">
      <c r="A28" s="55"/>
      <c r="C28" t="str">
        <f t="shared" si="0"/>
        <v>SRD-5-160-Obra nueva</v>
      </c>
      <c r="D28" s="55" t="s">
        <v>258</v>
      </c>
      <c r="E28" s="55">
        <v>160</v>
      </c>
      <c r="F28" t="s">
        <v>250</v>
      </c>
      <c r="G28" s="56" t="s">
        <v>256</v>
      </c>
    </row>
    <row r="29" spans="1:7">
      <c r="A29" s="55"/>
      <c r="C29" t="str">
        <f t="shared" si="0"/>
        <v>SRD-5-20-Rehabilitación</v>
      </c>
      <c r="D29" s="55" t="s">
        <v>258</v>
      </c>
      <c r="E29" s="55">
        <v>20</v>
      </c>
      <c r="F29" t="s">
        <v>257</v>
      </c>
      <c r="G29" s="56"/>
    </row>
    <row r="30" spans="1:7">
      <c r="A30" s="55"/>
      <c r="C30" t="str">
        <f t="shared" si="0"/>
        <v>SRD-5-40-Rehabilitación</v>
      </c>
      <c r="D30" s="55" t="s">
        <v>258</v>
      </c>
      <c r="E30" s="55">
        <v>40</v>
      </c>
      <c r="F30" t="s">
        <v>257</v>
      </c>
      <c r="G30" s="56"/>
    </row>
    <row r="31" spans="1:7">
      <c r="A31" s="55"/>
      <c r="C31" t="str">
        <f t="shared" si="0"/>
        <v>SRD-5-60-Rehabilitación</v>
      </c>
      <c r="D31" s="55" t="s">
        <v>258</v>
      </c>
      <c r="E31" s="55">
        <v>60</v>
      </c>
      <c r="F31" t="s">
        <v>257</v>
      </c>
      <c r="G31" s="56" t="s">
        <v>253</v>
      </c>
    </row>
    <row r="32" spans="1:7">
      <c r="A32" s="55"/>
      <c r="C32" t="str">
        <f t="shared" si="0"/>
        <v>SRD-5-80-Rehabilitación</v>
      </c>
      <c r="D32" s="55" t="s">
        <v>258</v>
      </c>
      <c r="E32" s="55">
        <v>80</v>
      </c>
      <c r="F32" t="s">
        <v>257</v>
      </c>
      <c r="G32" s="56" t="s">
        <v>254</v>
      </c>
    </row>
    <row r="33" spans="1:7">
      <c r="A33" s="55"/>
      <c r="C33" t="str">
        <f t="shared" si="0"/>
        <v>SRD-5-100-Rehabilitación</v>
      </c>
      <c r="D33" s="55" t="s">
        <v>258</v>
      </c>
      <c r="E33" s="55">
        <v>100</v>
      </c>
      <c r="F33" t="s">
        <v>257</v>
      </c>
      <c r="G33" s="56" t="s">
        <v>255</v>
      </c>
    </row>
    <row r="34" spans="1:7">
      <c r="C34" t="str">
        <f t="shared" si="0"/>
        <v>SRD-5-120-Rehabilitación</v>
      </c>
      <c r="D34" s="55" t="s">
        <v>258</v>
      </c>
      <c r="E34" s="55">
        <v>120</v>
      </c>
      <c r="F34" t="s">
        <v>257</v>
      </c>
      <c r="G34" s="56" t="s">
        <v>256</v>
      </c>
    </row>
    <row r="35" spans="1:7">
      <c r="C35" t="str">
        <f t="shared" si="0"/>
        <v>SRD-5-140-Rehabilitación</v>
      </c>
      <c r="D35" s="55" t="s">
        <v>258</v>
      </c>
      <c r="E35" s="55">
        <v>140</v>
      </c>
      <c r="F35" t="s">
        <v>257</v>
      </c>
      <c r="G35" s="56"/>
    </row>
    <row r="36" spans="1:7">
      <c r="C36" t="str">
        <f t="shared" si="0"/>
        <v>SRD-5-160-Rehabilitación</v>
      </c>
      <c r="D36" s="55" t="s">
        <v>258</v>
      </c>
      <c r="E36" s="55">
        <v>160</v>
      </c>
      <c r="F36" t="s">
        <v>257</v>
      </c>
      <c r="G36" s="56"/>
    </row>
    <row r="37" spans="1:7">
      <c r="C37" t="str">
        <f t="shared" si="0"/>
        <v>H3-20-Obra nueva</v>
      </c>
      <c r="D37" s="55" t="s">
        <v>259</v>
      </c>
      <c r="E37" s="55">
        <v>20</v>
      </c>
      <c r="F37" t="s">
        <v>250</v>
      </c>
      <c r="G37" s="56"/>
    </row>
    <row r="38" spans="1:7">
      <c r="C38" t="str">
        <f t="shared" si="0"/>
        <v>H3-40-Obra nueva</v>
      </c>
      <c r="D38" s="55" t="s">
        <v>259</v>
      </c>
      <c r="E38" s="55">
        <v>40</v>
      </c>
      <c r="F38" t="s">
        <v>250</v>
      </c>
      <c r="G38" s="56" t="s">
        <v>260</v>
      </c>
    </row>
    <row r="39" spans="1:7">
      <c r="C39" t="str">
        <f t="shared" si="0"/>
        <v>H3-60-Obra nueva</v>
      </c>
      <c r="D39" s="55" t="s">
        <v>259</v>
      </c>
      <c r="E39" s="55">
        <v>60</v>
      </c>
      <c r="F39" t="s">
        <v>250</v>
      </c>
      <c r="G39" s="56" t="s">
        <v>251</v>
      </c>
    </row>
    <row r="40" spans="1:7">
      <c r="C40" t="str">
        <f t="shared" si="0"/>
        <v>H3-80-Obra nueva</v>
      </c>
      <c r="D40" s="55" t="s">
        <v>259</v>
      </c>
      <c r="E40" s="55">
        <v>80</v>
      </c>
      <c r="F40" t="s">
        <v>250</v>
      </c>
      <c r="G40" s="56" t="s">
        <v>252</v>
      </c>
    </row>
    <row r="41" spans="1:7">
      <c r="C41" t="str">
        <f t="shared" si="0"/>
        <v>H3-100-Obra nueva</v>
      </c>
      <c r="D41" s="55" t="s">
        <v>259</v>
      </c>
      <c r="E41" s="55">
        <v>100</v>
      </c>
      <c r="F41" t="s">
        <v>250</v>
      </c>
      <c r="G41" s="56" t="s">
        <v>253</v>
      </c>
    </row>
    <row r="42" spans="1:7">
      <c r="C42" t="str">
        <f t="shared" si="0"/>
        <v>H3-120-Obra nueva</v>
      </c>
      <c r="D42" s="55" t="s">
        <v>259</v>
      </c>
      <c r="E42" s="55">
        <v>120</v>
      </c>
      <c r="F42" t="s">
        <v>250</v>
      </c>
      <c r="G42" s="56" t="s">
        <v>254</v>
      </c>
    </row>
    <row r="43" spans="1:7">
      <c r="C43" t="str">
        <f t="shared" si="0"/>
        <v>H3-140-Obra nueva</v>
      </c>
      <c r="D43" s="55" t="s">
        <v>259</v>
      </c>
      <c r="E43" s="55">
        <v>140</v>
      </c>
      <c r="F43" t="s">
        <v>250</v>
      </c>
      <c r="G43" s="56" t="s">
        <v>255</v>
      </c>
    </row>
    <row r="44" spans="1:7">
      <c r="C44" t="str">
        <f t="shared" si="0"/>
        <v>H3-160-Obra nueva</v>
      </c>
      <c r="D44" s="55" t="s">
        <v>259</v>
      </c>
      <c r="E44" s="55">
        <v>160</v>
      </c>
      <c r="F44" t="s">
        <v>250</v>
      </c>
      <c r="G44" s="56" t="s">
        <v>256</v>
      </c>
    </row>
    <row r="45" spans="1:7">
      <c r="C45" t="str">
        <f t="shared" si="0"/>
        <v>H3-20-Rehabilitación</v>
      </c>
      <c r="D45" s="55" t="s">
        <v>259</v>
      </c>
      <c r="E45" s="55">
        <v>20</v>
      </c>
      <c r="F45" t="s">
        <v>257</v>
      </c>
      <c r="G45" s="56"/>
    </row>
    <row r="46" spans="1:7">
      <c r="C46" t="str">
        <f t="shared" si="0"/>
        <v>H3-40-Rehabilitación</v>
      </c>
      <c r="D46" s="55" t="s">
        <v>259</v>
      </c>
      <c r="E46" s="55">
        <v>40</v>
      </c>
      <c r="F46" t="s">
        <v>257</v>
      </c>
      <c r="G46" s="56" t="s">
        <v>251</v>
      </c>
    </row>
    <row r="47" spans="1:7">
      <c r="C47" t="str">
        <f t="shared" si="0"/>
        <v>H3-60-Rehabilitación</v>
      </c>
      <c r="D47" s="55" t="s">
        <v>259</v>
      </c>
      <c r="E47" s="55">
        <v>60</v>
      </c>
      <c r="F47" t="s">
        <v>257</v>
      </c>
      <c r="G47" s="56" t="s">
        <v>252</v>
      </c>
    </row>
    <row r="48" spans="1:7">
      <c r="C48" t="str">
        <f t="shared" si="0"/>
        <v>H3-80-Rehabilitación</v>
      </c>
      <c r="D48" s="55" t="s">
        <v>259</v>
      </c>
      <c r="E48" s="55">
        <v>80</v>
      </c>
      <c r="F48" t="s">
        <v>257</v>
      </c>
      <c r="G48" s="56" t="s">
        <v>253</v>
      </c>
    </row>
    <row r="49" spans="3:7">
      <c r="C49" t="str">
        <f t="shared" si="0"/>
        <v>H3-100-Rehabilitación</v>
      </c>
      <c r="D49" s="55" t="s">
        <v>259</v>
      </c>
      <c r="E49" s="55">
        <v>100</v>
      </c>
      <c r="F49" t="s">
        <v>257</v>
      </c>
      <c r="G49" s="56" t="s">
        <v>254</v>
      </c>
    </row>
    <row r="50" spans="3:7">
      <c r="C50" t="str">
        <f t="shared" si="0"/>
        <v>H3-120-Rehabilitación</v>
      </c>
      <c r="D50" s="55" t="s">
        <v>259</v>
      </c>
      <c r="E50" s="55">
        <v>120</v>
      </c>
      <c r="F50" t="s">
        <v>257</v>
      </c>
      <c r="G50" s="56" t="s">
        <v>255</v>
      </c>
    </row>
    <row r="51" spans="3:7">
      <c r="C51" t="str">
        <f t="shared" si="0"/>
        <v>H3-140-Rehabilitación</v>
      </c>
      <c r="D51" s="55" t="s">
        <v>259</v>
      </c>
      <c r="E51" s="55">
        <v>140</v>
      </c>
      <c r="F51" t="s">
        <v>257</v>
      </c>
      <c r="G51" s="56" t="s">
        <v>256</v>
      </c>
    </row>
    <row r="52" spans="3:7">
      <c r="C52" t="str">
        <f t="shared" si="0"/>
        <v>H3-160-Rehabilitación</v>
      </c>
      <c r="D52" s="55" t="s">
        <v>259</v>
      </c>
      <c r="E52" s="55">
        <v>160</v>
      </c>
      <c r="F52" t="s">
        <v>257</v>
      </c>
      <c r="G52" s="56" t="s">
        <v>261</v>
      </c>
    </row>
    <row r="53" spans="3:7">
      <c r="C53" t="str">
        <f t="shared" si="0"/>
        <v>STR H-40-Obra nueva</v>
      </c>
      <c r="D53" s="55" t="s">
        <v>262</v>
      </c>
      <c r="E53" s="55">
        <v>40</v>
      </c>
      <c r="F53" t="s">
        <v>250</v>
      </c>
    </row>
    <row r="54" spans="3:7">
      <c r="C54" t="str">
        <f t="shared" si="0"/>
        <v>STR H-60-Obra nueva</v>
      </c>
      <c r="D54" s="55" t="s">
        <v>262</v>
      </c>
      <c r="E54" s="55">
        <v>60</v>
      </c>
      <c r="F54" t="s">
        <v>250</v>
      </c>
    </row>
    <row r="55" spans="3:7">
      <c r="C55" t="str">
        <f t="shared" si="0"/>
        <v>STR H-80-Obra nueva</v>
      </c>
      <c r="D55" s="55" t="s">
        <v>262</v>
      </c>
      <c r="E55" s="55">
        <v>80</v>
      </c>
      <c r="F55" t="s">
        <v>250</v>
      </c>
      <c r="G55" s="56" t="s">
        <v>263</v>
      </c>
    </row>
    <row r="56" spans="3:7">
      <c r="C56" t="str">
        <f t="shared" si="0"/>
        <v>STR H-100-Obra nueva</v>
      </c>
      <c r="D56" s="55" t="s">
        <v>262</v>
      </c>
      <c r="E56" s="55">
        <v>100</v>
      </c>
      <c r="F56" t="s">
        <v>250</v>
      </c>
      <c r="G56" s="56" t="s">
        <v>264</v>
      </c>
    </row>
    <row r="57" spans="3:7">
      <c r="C57" t="str">
        <f t="shared" si="0"/>
        <v>STR H-120-Obra nueva</v>
      </c>
      <c r="D57" s="55" t="s">
        <v>262</v>
      </c>
      <c r="E57" s="55">
        <v>120</v>
      </c>
      <c r="F57" t="s">
        <v>250</v>
      </c>
      <c r="G57" s="56" t="s">
        <v>265</v>
      </c>
    </row>
    <row r="58" spans="3:7">
      <c r="C58" t="str">
        <f t="shared" si="0"/>
        <v>STR H-140-Obra nueva</v>
      </c>
      <c r="D58" s="55" t="s">
        <v>262</v>
      </c>
      <c r="E58" s="55">
        <v>140</v>
      </c>
      <c r="F58" t="s">
        <v>250</v>
      </c>
      <c r="G58" s="56" t="s">
        <v>266</v>
      </c>
    </row>
    <row r="59" spans="3:7">
      <c r="C59" t="str">
        <f t="shared" si="0"/>
        <v>STR H-40-Rehabilitación</v>
      </c>
      <c r="D59" s="55" t="s">
        <v>262</v>
      </c>
      <c r="E59" s="55">
        <v>40</v>
      </c>
      <c r="F59" t="s">
        <v>257</v>
      </c>
      <c r="G59" s="56" t="s">
        <v>263</v>
      </c>
    </row>
    <row r="60" spans="3:7">
      <c r="C60" t="str">
        <f t="shared" si="0"/>
        <v>STR H-60-Rehabilitación</v>
      </c>
      <c r="D60" s="55" t="s">
        <v>262</v>
      </c>
      <c r="E60" s="55">
        <v>60</v>
      </c>
      <c r="F60" t="s">
        <v>257</v>
      </c>
      <c r="G60" s="56" t="s">
        <v>264</v>
      </c>
    </row>
    <row r="61" spans="3:7">
      <c r="C61" t="str">
        <f t="shared" si="0"/>
        <v>STR H-80-Rehabilitación</v>
      </c>
      <c r="D61" s="55" t="s">
        <v>262</v>
      </c>
      <c r="E61" s="55">
        <v>80</v>
      </c>
      <c r="F61" t="s">
        <v>257</v>
      </c>
      <c r="G61" s="56" t="s">
        <v>265</v>
      </c>
    </row>
    <row r="62" spans="3:7">
      <c r="C62" t="str">
        <f t="shared" si="0"/>
        <v>STR H-100-Rehabilitación</v>
      </c>
      <c r="D62" s="55" t="s">
        <v>262</v>
      </c>
      <c r="E62" s="55">
        <v>100</v>
      </c>
      <c r="F62" t="s">
        <v>257</v>
      </c>
      <c r="G62" s="56" t="s">
        <v>266</v>
      </c>
    </row>
    <row r="63" spans="3:7">
      <c r="C63" t="str">
        <f t="shared" si="0"/>
        <v>STR H-120-Rehabilitación</v>
      </c>
      <c r="D63" s="55" t="s">
        <v>262</v>
      </c>
      <c r="E63" s="55">
        <v>120</v>
      </c>
      <c r="F63" t="s">
        <v>257</v>
      </c>
      <c r="G63" s="56" t="s">
        <v>267</v>
      </c>
    </row>
    <row r="64" spans="3:7">
      <c r="C64" t="str">
        <f t="shared" si="0"/>
        <v>STR H-140-Rehabilitación</v>
      </c>
      <c r="D64" s="55" t="s">
        <v>262</v>
      </c>
      <c r="E64" s="55">
        <v>140</v>
      </c>
      <c r="F64" t="s">
        <v>257</v>
      </c>
      <c r="G64" s="56" t="s">
        <v>268</v>
      </c>
    </row>
    <row r="66" spans="4:7">
      <c r="D66" s="55"/>
      <c r="E66" s="55"/>
      <c r="G66" s="56"/>
    </row>
  </sheetData>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7C75A-51F0-4CCD-85BB-533BFE4519AD}">
  <dimension ref="B4:F27"/>
  <sheetViews>
    <sheetView topLeftCell="A4" workbookViewId="0">
      <selection activeCell="C24" sqref="C24:D24"/>
    </sheetView>
  </sheetViews>
  <sheetFormatPr baseColWidth="10" defaultRowHeight="14.5"/>
  <cols>
    <col min="3" max="3" width="48.1796875" customWidth="1"/>
  </cols>
  <sheetData>
    <row r="4" spans="2:5" ht="15" thickBot="1"/>
    <row r="5" spans="2:5" ht="15" thickBot="1">
      <c r="B5" s="524" t="s">
        <v>995</v>
      </c>
      <c r="C5" s="525" t="s">
        <v>996</v>
      </c>
      <c r="D5" s="525" t="s">
        <v>871</v>
      </c>
      <c r="E5" s="526" t="s">
        <v>997</v>
      </c>
    </row>
    <row r="6" spans="2:5" ht="15" thickBot="1">
      <c r="B6" s="527">
        <v>5725185</v>
      </c>
      <c r="C6" s="528" t="s">
        <v>918</v>
      </c>
      <c r="D6" s="529">
        <v>15</v>
      </c>
      <c r="E6" s="530">
        <v>261.35000000000002</v>
      </c>
    </row>
    <row r="7" spans="2:5" ht="15" thickBot="1">
      <c r="B7" s="527">
        <v>5725179</v>
      </c>
      <c r="C7" s="531" t="s">
        <v>919</v>
      </c>
      <c r="D7" s="529">
        <v>15</v>
      </c>
      <c r="E7" s="530">
        <v>253.5</v>
      </c>
    </row>
    <row r="8" spans="2:5" ht="15" thickBot="1">
      <c r="B8" s="527">
        <v>5058287</v>
      </c>
      <c r="C8" s="531" t="s">
        <v>998</v>
      </c>
      <c r="D8" s="529">
        <v>15</v>
      </c>
      <c r="E8" s="530">
        <v>321.55</v>
      </c>
    </row>
    <row r="9" spans="2:5" ht="15" thickBot="1">
      <c r="B9" s="527">
        <v>5057927</v>
      </c>
      <c r="C9" s="531" t="s">
        <v>920</v>
      </c>
      <c r="D9" s="529">
        <v>15</v>
      </c>
      <c r="E9" s="530">
        <v>216.4</v>
      </c>
    </row>
    <row r="10" spans="2:5" ht="15" thickBot="1">
      <c r="B10" s="527">
        <v>5057926</v>
      </c>
      <c r="C10" s="531" t="s">
        <v>999</v>
      </c>
      <c r="D10" s="529" t="s">
        <v>1000</v>
      </c>
      <c r="E10" s="530">
        <v>221.85</v>
      </c>
    </row>
    <row r="11" spans="2:5" ht="15" thickBot="1">
      <c r="B11" s="527">
        <v>5058654</v>
      </c>
      <c r="C11" s="531" t="s">
        <v>921</v>
      </c>
      <c r="D11" s="529">
        <v>15</v>
      </c>
      <c r="E11" s="530">
        <v>217.65</v>
      </c>
    </row>
    <row r="12" spans="2:5" ht="15" thickBot="1">
      <c r="B12" s="527">
        <v>5075109</v>
      </c>
      <c r="C12" s="531" t="s">
        <v>924</v>
      </c>
      <c r="D12" s="529">
        <v>15</v>
      </c>
      <c r="E12" s="530">
        <v>274.89999999999998</v>
      </c>
    </row>
    <row r="13" spans="2:5" ht="15" thickBot="1">
      <c r="B13" s="527">
        <v>5057935</v>
      </c>
      <c r="C13" s="531" t="s">
        <v>925</v>
      </c>
      <c r="D13" s="529">
        <v>15</v>
      </c>
      <c r="E13" s="530">
        <v>437</v>
      </c>
    </row>
    <row r="14" spans="2:5" ht="15" thickBot="1">
      <c r="B14" s="527">
        <v>5805336</v>
      </c>
      <c r="C14" s="528" t="s">
        <v>1008</v>
      </c>
      <c r="D14" s="529">
        <v>5</v>
      </c>
      <c r="E14" s="530">
        <v>77.8</v>
      </c>
    </row>
    <row r="15" spans="2:5" ht="15" thickBot="1">
      <c r="B15" s="527">
        <v>5805335</v>
      </c>
      <c r="C15" s="528" t="s">
        <v>1007</v>
      </c>
      <c r="D15" s="529">
        <v>15</v>
      </c>
      <c r="E15" s="530">
        <v>201.85</v>
      </c>
    </row>
    <row r="16" spans="2:5" ht="15" thickBot="1">
      <c r="B16" s="527">
        <v>5805337</v>
      </c>
      <c r="C16" s="528" t="s">
        <v>1001</v>
      </c>
      <c r="D16" s="529">
        <v>14</v>
      </c>
      <c r="E16" s="530">
        <v>133.15</v>
      </c>
    </row>
    <row r="17" spans="2:6" ht="15" thickBot="1">
      <c r="B17" s="527">
        <v>5805339</v>
      </c>
      <c r="C17" s="531" t="s">
        <v>1002</v>
      </c>
      <c r="D17" s="529">
        <v>13.78</v>
      </c>
      <c r="E17" s="530">
        <v>130.94999999999999</v>
      </c>
    </row>
    <row r="18" spans="2:6" ht="15" thickBot="1">
      <c r="B18" s="527">
        <v>5805338</v>
      </c>
      <c r="C18" s="528" t="s">
        <v>1003</v>
      </c>
      <c r="D18" s="529">
        <v>14</v>
      </c>
      <c r="E18" s="530">
        <v>139.75</v>
      </c>
    </row>
    <row r="19" spans="2:6" ht="15" thickBot="1">
      <c r="B19" s="527">
        <v>5805340</v>
      </c>
      <c r="C19" s="528" t="s">
        <v>1004</v>
      </c>
      <c r="D19" s="529">
        <v>13.78</v>
      </c>
      <c r="E19" s="530">
        <v>133.6</v>
      </c>
    </row>
    <row r="21" spans="2:6" ht="15" thickBot="1">
      <c r="B21" s="532">
        <v>5825572</v>
      </c>
      <c r="C21" s="531" t="s">
        <v>922</v>
      </c>
      <c r="D21" s="533">
        <v>14</v>
      </c>
      <c r="E21" s="534">
        <v>426.5</v>
      </c>
      <c r="F21" s="529" t="s">
        <v>98</v>
      </c>
    </row>
    <row r="22" spans="2:6" ht="15" thickBot="1">
      <c r="B22" s="532">
        <v>5351506</v>
      </c>
      <c r="C22" s="531" t="s">
        <v>923</v>
      </c>
      <c r="D22" s="533">
        <v>15</v>
      </c>
      <c r="E22" s="534">
        <v>292.05</v>
      </c>
      <c r="F22" s="529" t="s">
        <v>98</v>
      </c>
    </row>
    <row r="23" spans="2:6" ht="15" thickBot="1"/>
    <row r="24" spans="2:6" ht="15" thickBot="1">
      <c r="B24" s="536">
        <v>5881055</v>
      </c>
      <c r="C24" s="537" t="s">
        <v>1005</v>
      </c>
      <c r="D24" s="538">
        <v>15</v>
      </c>
      <c r="E24" s="538">
        <v>226.65</v>
      </c>
      <c r="F24" s="538">
        <v>1</v>
      </c>
    </row>
    <row r="25" spans="2:6">
      <c r="B25" s="539"/>
    </row>
    <row r="26" spans="2:6" ht="15" thickBot="1">
      <c r="B26" s="539"/>
    </row>
    <row r="27" spans="2:6" ht="15" thickBot="1">
      <c r="B27" s="536">
        <v>5881061</v>
      </c>
      <c r="C27" s="537" t="s">
        <v>1006</v>
      </c>
      <c r="D27" s="538">
        <v>10</v>
      </c>
      <c r="E27" s="538">
        <v>279.5</v>
      </c>
      <c r="F27" s="538">
        <v>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7DFAE-8356-4245-BB79-678FB65C0663}">
  <dimension ref="A1:P807"/>
  <sheetViews>
    <sheetView zoomScale="50" zoomScaleNormal="50" workbookViewId="0">
      <pane xSplit="2" ySplit="2" topLeftCell="C3" activePane="bottomRight" state="frozen"/>
      <selection activeCell="C24" sqref="C24:D24"/>
      <selection pane="topRight" activeCell="C24" sqref="C24:D24"/>
      <selection pane="bottomLeft" activeCell="C24" sqref="C24:D24"/>
      <selection pane="bottomRight" activeCell="C24" sqref="C24:D24"/>
    </sheetView>
  </sheetViews>
  <sheetFormatPr baseColWidth="10" defaultColWidth="11.54296875" defaultRowHeight="14.5"/>
  <cols>
    <col min="1" max="1" width="14.26953125" style="67" customWidth="1"/>
    <col min="2" max="2" width="42" style="1" customWidth="1"/>
    <col min="3" max="3" width="15.26953125" style="55" customWidth="1"/>
    <col min="4" max="4" width="9.26953125" style="55" customWidth="1"/>
    <col min="5" max="5" width="9.453125" style="55" customWidth="1"/>
    <col min="6" max="6" width="13.81640625" style="91" customWidth="1"/>
    <col min="7" max="7" width="10.81640625" style="55" customWidth="1"/>
    <col min="8" max="8" width="13.26953125" style="78" customWidth="1"/>
    <col min="9" max="9" width="12.7265625" style="78" customWidth="1"/>
    <col min="10" max="11" width="12" style="55" customWidth="1"/>
    <col min="12" max="12" width="14.54296875" style="75" bestFit="1" customWidth="1"/>
    <col min="13" max="13" width="11.54296875" style="75"/>
    <col min="14" max="14" width="7.7265625" style="75" customWidth="1"/>
    <col min="15" max="15" width="7.81640625" style="78" customWidth="1"/>
    <col min="16" max="16" width="7.54296875" style="78" bestFit="1" customWidth="1"/>
    <col min="17" max="16384" width="11.54296875" style="75"/>
  </cols>
  <sheetData>
    <row r="1" spans="1:16" ht="31.15" customHeight="1">
      <c r="A1" s="77"/>
      <c r="B1" s="104"/>
      <c r="C1" s="78"/>
      <c r="D1" s="78"/>
      <c r="E1" s="78"/>
      <c r="F1" s="87"/>
      <c r="G1" s="78"/>
      <c r="J1" s="78"/>
      <c r="K1" s="78"/>
    </row>
    <row r="2" spans="1:16" s="76" customFormat="1" ht="58">
      <c r="A2" s="72"/>
      <c r="B2" s="73"/>
      <c r="C2" s="73" t="s">
        <v>17</v>
      </c>
      <c r="D2" s="74" t="s">
        <v>401</v>
      </c>
      <c r="E2" s="74" t="s">
        <v>402</v>
      </c>
      <c r="F2" s="74" t="s">
        <v>296</v>
      </c>
      <c r="G2" s="73" t="s">
        <v>386</v>
      </c>
      <c r="H2" s="74" t="s">
        <v>348</v>
      </c>
      <c r="I2" s="74" t="s">
        <v>345</v>
      </c>
      <c r="J2" s="74" t="s">
        <v>295</v>
      </c>
      <c r="K2" s="74" t="s">
        <v>293</v>
      </c>
      <c r="M2" s="224" t="s">
        <v>850</v>
      </c>
      <c r="N2" s="225" t="s">
        <v>849</v>
      </c>
      <c r="O2" s="517" t="s">
        <v>938</v>
      </c>
      <c r="P2" s="517"/>
    </row>
    <row r="3" spans="1:16">
      <c r="A3" s="504" t="s">
        <v>156</v>
      </c>
      <c r="B3" s="155" t="s">
        <v>542</v>
      </c>
      <c r="C3" s="415">
        <v>4.7</v>
      </c>
      <c r="D3" s="157">
        <v>1</v>
      </c>
      <c r="E3" s="157"/>
      <c r="F3" s="157">
        <v>1</v>
      </c>
      <c r="G3" s="157" t="s">
        <v>453</v>
      </c>
      <c r="H3" s="157" t="s">
        <v>98</v>
      </c>
      <c r="I3" s="157" t="s">
        <v>453</v>
      </c>
      <c r="J3" s="157" t="s">
        <v>98</v>
      </c>
      <c r="K3" s="157" t="s">
        <v>98</v>
      </c>
      <c r="L3" s="416">
        <v>45292</v>
      </c>
      <c r="M3" s="223">
        <v>0</v>
      </c>
    </row>
    <row r="4" spans="1:16">
      <c r="A4" s="504"/>
      <c r="B4" s="95" t="s">
        <v>543</v>
      </c>
      <c r="C4" s="415">
        <f>(C3+C5)/2</f>
        <v>7.0400000000000009</v>
      </c>
      <c r="D4" s="97">
        <v>1</v>
      </c>
      <c r="E4" s="97"/>
      <c r="F4" s="97">
        <v>1</v>
      </c>
      <c r="G4" s="97" t="s">
        <v>453</v>
      </c>
      <c r="H4" s="97" t="s">
        <v>98</v>
      </c>
      <c r="I4" s="97" t="s">
        <v>453</v>
      </c>
      <c r="J4" s="97" t="s">
        <v>98</v>
      </c>
      <c r="K4" s="97" t="s">
        <v>98</v>
      </c>
      <c r="L4" s="416">
        <v>45292</v>
      </c>
      <c r="M4" s="223">
        <v>0</v>
      </c>
      <c r="N4" s="75">
        <v>7.08</v>
      </c>
    </row>
    <row r="5" spans="1:16">
      <c r="A5" s="504"/>
      <c r="B5" s="155" t="s">
        <v>544</v>
      </c>
      <c r="C5" s="415">
        <v>9.3800000000000008</v>
      </c>
      <c r="D5" s="157">
        <v>1</v>
      </c>
      <c r="E5" s="157"/>
      <c r="F5" s="157">
        <v>1</v>
      </c>
      <c r="G5" s="157" t="s">
        <v>453</v>
      </c>
      <c r="H5" s="157" t="s">
        <v>98</v>
      </c>
      <c r="I5" s="157" t="s">
        <v>453</v>
      </c>
      <c r="J5" s="157" t="s">
        <v>98</v>
      </c>
      <c r="K5" s="157" t="s">
        <v>98</v>
      </c>
      <c r="L5" s="416">
        <v>45292</v>
      </c>
      <c r="M5" s="223">
        <v>0</v>
      </c>
    </row>
    <row r="6" spans="1:16">
      <c r="A6" s="504"/>
      <c r="B6" s="95" t="s">
        <v>545</v>
      </c>
      <c r="C6" s="415">
        <f>(C5+C7)/2</f>
        <v>11.73</v>
      </c>
      <c r="D6" s="97">
        <v>1</v>
      </c>
      <c r="E6" s="97"/>
      <c r="F6" s="97">
        <v>1</v>
      </c>
      <c r="G6" s="97" t="s">
        <v>453</v>
      </c>
      <c r="H6" s="97" t="s">
        <v>98</v>
      </c>
      <c r="I6" s="97" t="s">
        <v>453</v>
      </c>
      <c r="J6" s="97" t="s">
        <v>98</v>
      </c>
      <c r="K6" s="97" t="s">
        <v>98</v>
      </c>
      <c r="L6" s="416">
        <v>45292</v>
      </c>
      <c r="M6" s="223">
        <v>0</v>
      </c>
      <c r="N6" s="75">
        <v>11.76</v>
      </c>
    </row>
    <row r="7" spans="1:16">
      <c r="A7" s="504"/>
      <c r="B7" s="155" t="s">
        <v>546</v>
      </c>
      <c r="C7" s="415">
        <v>14.08</v>
      </c>
      <c r="D7" s="157">
        <v>1</v>
      </c>
      <c r="E7" s="157"/>
      <c r="F7" s="157">
        <v>1</v>
      </c>
      <c r="G7" s="157" t="s">
        <v>453</v>
      </c>
      <c r="H7" s="157" t="s">
        <v>98</v>
      </c>
      <c r="I7" s="157" t="s">
        <v>453</v>
      </c>
      <c r="J7" s="157" t="s">
        <v>98</v>
      </c>
      <c r="K7" s="157" t="s">
        <v>98</v>
      </c>
      <c r="L7" s="416">
        <v>45292</v>
      </c>
      <c r="M7" s="223">
        <v>0</v>
      </c>
    </row>
    <row r="8" spans="1:16">
      <c r="A8" s="504"/>
      <c r="B8" s="95" t="s">
        <v>547</v>
      </c>
      <c r="C8" s="415">
        <f>(C7+C9)/2</f>
        <v>16.43</v>
      </c>
      <c r="D8" s="97">
        <v>1</v>
      </c>
      <c r="E8" s="97"/>
      <c r="F8" s="97">
        <v>1</v>
      </c>
      <c r="G8" s="97" t="s">
        <v>453</v>
      </c>
      <c r="H8" s="97" t="s">
        <v>98</v>
      </c>
      <c r="I8" s="97" t="s">
        <v>453</v>
      </c>
      <c r="J8" s="97" t="s">
        <v>98</v>
      </c>
      <c r="K8" s="97" t="s">
        <v>98</v>
      </c>
      <c r="L8" s="416">
        <v>45292</v>
      </c>
      <c r="M8" s="223">
        <v>0</v>
      </c>
      <c r="N8" s="75">
        <v>16.43</v>
      </c>
    </row>
    <row r="9" spans="1:16">
      <c r="A9" s="504"/>
      <c r="B9" s="155" t="s">
        <v>548</v>
      </c>
      <c r="C9" s="415">
        <v>18.78</v>
      </c>
      <c r="D9" s="157">
        <v>1</v>
      </c>
      <c r="E9" s="157"/>
      <c r="F9" s="157">
        <v>1</v>
      </c>
      <c r="G9" s="157" t="s">
        <v>453</v>
      </c>
      <c r="H9" s="157" t="s">
        <v>98</v>
      </c>
      <c r="I9" s="157" t="s">
        <v>453</v>
      </c>
      <c r="J9" s="157" t="s">
        <v>98</v>
      </c>
      <c r="K9" s="157" t="s">
        <v>98</v>
      </c>
      <c r="L9" s="416">
        <v>45292</v>
      </c>
      <c r="M9" s="223">
        <v>0</v>
      </c>
    </row>
    <row r="10" spans="1:16">
      <c r="A10" s="504"/>
      <c r="B10" s="95" t="s">
        <v>549</v>
      </c>
      <c r="C10" s="415">
        <f>(C9+C11)/2</f>
        <v>21.12</v>
      </c>
      <c r="D10" s="97">
        <v>1</v>
      </c>
      <c r="E10" s="97"/>
      <c r="F10" s="97">
        <v>1</v>
      </c>
      <c r="G10" s="97" t="s">
        <v>453</v>
      </c>
      <c r="H10" s="97" t="s">
        <v>98</v>
      </c>
      <c r="I10" s="97" t="s">
        <v>453</v>
      </c>
      <c r="J10" s="97" t="s">
        <v>98</v>
      </c>
      <c r="K10" s="97" t="s">
        <v>98</v>
      </c>
      <c r="L10" s="416">
        <v>45292</v>
      </c>
      <c r="M10" s="223">
        <v>0</v>
      </c>
      <c r="N10" s="75">
        <v>21.1</v>
      </c>
    </row>
    <row r="11" spans="1:16">
      <c r="A11" s="504"/>
      <c r="B11" s="155" t="s">
        <v>550</v>
      </c>
      <c r="C11" s="415">
        <v>23.46</v>
      </c>
      <c r="D11" s="157">
        <v>1</v>
      </c>
      <c r="E11" s="157"/>
      <c r="F11" s="157">
        <v>1</v>
      </c>
      <c r="G11" s="157" t="s">
        <v>453</v>
      </c>
      <c r="H11" s="157" t="s">
        <v>98</v>
      </c>
      <c r="I11" s="157" t="s">
        <v>453</v>
      </c>
      <c r="J11" s="157" t="s">
        <v>98</v>
      </c>
      <c r="K11" s="157" t="s">
        <v>98</v>
      </c>
      <c r="L11" s="416">
        <v>45292</v>
      </c>
      <c r="M11" s="223">
        <v>0</v>
      </c>
    </row>
    <row r="12" spans="1:16">
      <c r="A12" s="504"/>
      <c r="B12" s="95" t="s">
        <v>551</v>
      </c>
      <c r="C12" s="415">
        <f>(C11+C13)/2</f>
        <v>25.815000000000001</v>
      </c>
      <c r="D12" s="97">
        <v>1</v>
      </c>
      <c r="E12" s="97"/>
      <c r="F12" s="97">
        <v>1</v>
      </c>
      <c r="G12" s="97" t="s">
        <v>453</v>
      </c>
      <c r="H12" s="97" t="s">
        <v>98</v>
      </c>
      <c r="I12" s="97" t="s">
        <v>453</v>
      </c>
      <c r="J12" s="97" t="s">
        <v>98</v>
      </c>
      <c r="K12" s="97" t="s">
        <v>98</v>
      </c>
      <c r="L12" s="416">
        <v>45292</v>
      </c>
      <c r="M12" s="223">
        <v>0</v>
      </c>
      <c r="N12" s="75">
        <v>27.37</v>
      </c>
    </row>
    <row r="13" spans="1:16">
      <c r="A13" s="504"/>
      <c r="B13" s="155" t="s">
        <v>552</v>
      </c>
      <c r="C13" s="415">
        <v>28.17</v>
      </c>
      <c r="D13" s="157">
        <v>1</v>
      </c>
      <c r="E13" s="157"/>
      <c r="F13" s="157">
        <v>1</v>
      </c>
      <c r="G13" s="157" t="s">
        <v>453</v>
      </c>
      <c r="H13" s="157" t="s">
        <v>98</v>
      </c>
      <c r="I13" s="157" t="s">
        <v>453</v>
      </c>
      <c r="J13" s="157" t="s">
        <v>98</v>
      </c>
      <c r="K13" s="157" t="s">
        <v>98</v>
      </c>
      <c r="L13" s="416">
        <v>45292</v>
      </c>
      <c r="M13" s="223">
        <v>0</v>
      </c>
    </row>
    <row r="14" spans="1:16">
      <c r="A14" s="504"/>
      <c r="B14" s="95" t="s">
        <v>553</v>
      </c>
      <c r="C14" s="415">
        <f>(C13+C15)/2</f>
        <v>30.515000000000001</v>
      </c>
      <c r="D14" s="97">
        <v>1</v>
      </c>
      <c r="E14" s="97"/>
      <c r="F14" s="97">
        <v>1</v>
      </c>
      <c r="G14" s="97" t="s">
        <v>453</v>
      </c>
      <c r="H14" s="97" t="s">
        <v>98</v>
      </c>
      <c r="I14" s="97" t="s">
        <v>453</v>
      </c>
      <c r="J14" s="97" t="s">
        <v>98</v>
      </c>
      <c r="K14" s="97" t="s">
        <v>98</v>
      </c>
      <c r="L14" s="416">
        <v>45292</v>
      </c>
      <c r="M14" s="223">
        <v>0</v>
      </c>
      <c r="N14" s="75">
        <v>32.35</v>
      </c>
    </row>
    <row r="15" spans="1:16">
      <c r="A15" s="504"/>
      <c r="B15" s="155" t="s">
        <v>554</v>
      </c>
      <c r="C15" s="415">
        <v>32.86</v>
      </c>
      <c r="D15" s="157">
        <v>1</v>
      </c>
      <c r="E15" s="157"/>
      <c r="F15" s="157">
        <v>1</v>
      </c>
      <c r="G15" s="157" t="s">
        <v>453</v>
      </c>
      <c r="H15" s="157" t="s">
        <v>98</v>
      </c>
      <c r="I15" s="157" t="s">
        <v>453</v>
      </c>
      <c r="J15" s="157" t="s">
        <v>98</v>
      </c>
      <c r="K15" s="157" t="s">
        <v>98</v>
      </c>
      <c r="L15" s="416">
        <v>45292</v>
      </c>
      <c r="M15" s="223">
        <v>0</v>
      </c>
    </row>
    <row r="16" spans="1:16">
      <c r="A16" s="504"/>
      <c r="B16" s="95" t="s">
        <v>555</v>
      </c>
      <c r="C16" s="415">
        <f>(C15+C17)/2</f>
        <v>35.200000000000003</v>
      </c>
      <c r="D16" s="97">
        <v>1</v>
      </c>
      <c r="E16" s="97"/>
      <c r="F16" s="97">
        <v>1</v>
      </c>
      <c r="G16" s="97" t="s">
        <v>453</v>
      </c>
      <c r="H16" s="97" t="s">
        <v>98</v>
      </c>
      <c r="I16" s="97" t="s">
        <v>453</v>
      </c>
      <c r="J16" s="97" t="s">
        <v>98</v>
      </c>
      <c r="K16" s="97" t="s">
        <v>98</v>
      </c>
      <c r="L16" s="416">
        <v>45292</v>
      </c>
      <c r="M16" s="223">
        <v>0</v>
      </c>
      <c r="N16" s="75">
        <v>37.31</v>
      </c>
    </row>
    <row r="17" spans="1:14">
      <c r="A17" s="504"/>
      <c r="B17" s="155" t="s">
        <v>556</v>
      </c>
      <c r="C17" s="415">
        <v>37.54</v>
      </c>
      <c r="D17" s="157">
        <v>1</v>
      </c>
      <c r="E17" s="157"/>
      <c r="F17" s="157">
        <v>1</v>
      </c>
      <c r="G17" s="157" t="s">
        <v>453</v>
      </c>
      <c r="H17" s="157" t="s">
        <v>98</v>
      </c>
      <c r="I17" s="157" t="s">
        <v>453</v>
      </c>
      <c r="J17" s="157" t="s">
        <v>98</v>
      </c>
      <c r="K17" s="157" t="s">
        <v>98</v>
      </c>
      <c r="L17" s="416">
        <v>45292</v>
      </c>
      <c r="M17" s="223">
        <v>0</v>
      </c>
    </row>
    <row r="18" spans="1:14">
      <c r="A18" s="504"/>
      <c r="B18" s="155" t="s">
        <v>939</v>
      </c>
      <c r="C18" s="415">
        <v>40</v>
      </c>
      <c r="D18" s="157">
        <v>1</v>
      </c>
      <c r="E18" s="157"/>
      <c r="F18" s="157">
        <v>1</v>
      </c>
      <c r="G18" s="157" t="s">
        <v>453</v>
      </c>
      <c r="H18" s="157" t="s">
        <v>98</v>
      </c>
      <c r="I18" s="157" t="s">
        <v>453</v>
      </c>
      <c r="J18" s="157" t="s">
        <v>98</v>
      </c>
      <c r="K18" s="157" t="s">
        <v>98</v>
      </c>
      <c r="L18" s="416">
        <v>45292</v>
      </c>
      <c r="M18" s="223">
        <v>0</v>
      </c>
    </row>
    <row r="19" spans="1:14">
      <c r="A19" s="504"/>
      <c r="B19" s="155" t="s">
        <v>940</v>
      </c>
      <c r="C19" s="415">
        <v>42.3</v>
      </c>
      <c r="D19" s="157">
        <v>1</v>
      </c>
      <c r="E19" s="157"/>
      <c r="F19" s="157">
        <v>1</v>
      </c>
      <c r="G19" s="157" t="s">
        <v>453</v>
      </c>
      <c r="H19" s="157" t="s">
        <v>98</v>
      </c>
      <c r="I19" s="157" t="s">
        <v>453</v>
      </c>
      <c r="J19" s="157" t="s">
        <v>98</v>
      </c>
      <c r="K19" s="157" t="s">
        <v>98</v>
      </c>
      <c r="L19" s="416">
        <v>45292</v>
      </c>
      <c r="M19" s="223">
        <v>0</v>
      </c>
    </row>
    <row r="20" spans="1:14">
      <c r="A20" s="504"/>
      <c r="B20" s="155" t="s">
        <v>941</v>
      </c>
      <c r="C20" s="415">
        <v>44.7</v>
      </c>
      <c r="D20" s="157">
        <v>1</v>
      </c>
      <c r="E20" s="157"/>
      <c r="F20" s="157">
        <v>1</v>
      </c>
      <c r="G20" s="157" t="s">
        <v>453</v>
      </c>
      <c r="H20" s="157" t="s">
        <v>98</v>
      </c>
      <c r="I20" s="157" t="s">
        <v>453</v>
      </c>
      <c r="J20" s="157" t="s">
        <v>98</v>
      </c>
      <c r="K20" s="157" t="s">
        <v>98</v>
      </c>
      <c r="L20" s="416">
        <v>45292</v>
      </c>
      <c r="M20" s="223">
        <v>0</v>
      </c>
    </row>
    <row r="21" spans="1:14">
      <c r="A21" s="504"/>
      <c r="B21" s="155" t="s">
        <v>942</v>
      </c>
      <c r="C21" s="415">
        <v>47</v>
      </c>
      <c r="D21" s="157">
        <v>1</v>
      </c>
      <c r="E21" s="157"/>
      <c r="F21" s="157">
        <v>1</v>
      </c>
      <c r="G21" s="157" t="s">
        <v>453</v>
      </c>
      <c r="H21" s="157" t="s">
        <v>98</v>
      </c>
      <c r="I21" s="157" t="s">
        <v>453</v>
      </c>
      <c r="J21" s="157" t="s">
        <v>98</v>
      </c>
      <c r="K21" s="157" t="s">
        <v>98</v>
      </c>
      <c r="L21" s="416">
        <v>45292</v>
      </c>
      <c r="M21" s="223">
        <v>0</v>
      </c>
    </row>
    <row r="22" spans="1:14">
      <c r="A22" s="504"/>
      <c r="B22" s="95" t="s">
        <v>98</v>
      </c>
      <c r="C22" s="97"/>
      <c r="D22" s="97"/>
      <c r="E22" s="97"/>
      <c r="F22" s="97"/>
      <c r="G22" s="97"/>
      <c r="H22" s="97" t="s">
        <v>98</v>
      </c>
      <c r="I22" s="97"/>
      <c r="J22" s="97"/>
      <c r="K22" s="97"/>
    </row>
    <row r="23" spans="1:14">
      <c r="A23" s="504"/>
      <c r="B23" s="155" t="s">
        <v>557</v>
      </c>
      <c r="C23" s="415">
        <v>5.36</v>
      </c>
      <c r="D23" s="157">
        <v>1</v>
      </c>
      <c r="E23" s="157"/>
      <c r="F23" s="157">
        <v>1</v>
      </c>
      <c r="G23" s="157" t="s">
        <v>453</v>
      </c>
      <c r="H23" s="157" t="s">
        <v>98</v>
      </c>
      <c r="I23" s="157" t="s">
        <v>453</v>
      </c>
      <c r="J23" s="157" t="s">
        <v>98</v>
      </c>
      <c r="K23" s="157" t="s">
        <v>98</v>
      </c>
      <c r="L23" s="416">
        <v>45292</v>
      </c>
      <c r="M23" s="223">
        <v>0.05</v>
      </c>
    </row>
    <row r="24" spans="1:14">
      <c r="A24" s="504"/>
      <c r="B24" s="95" t="s">
        <v>558</v>
      </c>
      <c r="C24" s="415">
        <f>(C23+C25)/2</f>
        <v>8.0299999999999994</v>
      </c>
      <c r="D24" s="97">
        <v>1</v>
      </c>
      <c r="E24" s="97"/>
      <c r="F24" s="97">
        <v>1</v>
      </c>
      <c r="G24" s="97" t="s">
        <v>453</v>
      </c>
      <c r="H24" s="97" t="s">
        <v>98</v>
      </c>
      <c r="I24" s="97" t="s">
        <v>453</v>
      </c>
      <c r="J24" s="97" t="s">
        <v>98</v>
      </c>
      <c r="K24" s="97" t="s">
        <v>98</v>
      </c>
      <c r="L24" s="416">
        <v>45292</v>
      </c>
      <c r="M24" s="223">
        <v>0.05</v>
      </c>
      <c r="N24" s="132">
        <v>8.41</v>
      </c>
    </row>
    <row r="25" spans="1:14">
      <c r="A25" s="504"/>
      <c r="B25" s="155" t="s">
        <v>559</v>
      </c>
      <c r="C25" s="415">
        <v>10.7</v>
      </c>
      <c r="D25" s="157">
        <v>1</v>
      </c>
      <c r="E25" s="157"/>
      <c r="F25" s="157">
        <v>1</v>
      </c>
      <c r="G25" s="157" t="s">
        <v>453</v>
      </c>
      <c r="H25" s="157" t="s">
        <v>98</v>
      </c>
      <c r="I25" s="157" t="s">
        <v>453</v>
      </c>
      <c r="J25" s="157" t="s">
        <v>98</v>
      </c>
      <c r="K25" s="157" t="s">
        <v>98</v>
      </c>
      <c r="L25" s="416">
        <v>45292</v>
      </c>
      <c r="M25" s="223">
        <v>0.05</v>
      </c>
      <c r="N25" s="132"/>
    </row>
    <row r="26" spans="1:14">
      <c r="A26" s="504"/>
      <c r="B26" s="95" t="s">
        <v>560</v>
      </c>
      <c r="C26" s="415">
        <f>(C25+C27)/2</f>
        <v>13.375</v>
      </c>
      <c r="D26" s="97">
        <v>1</v>
      </c>
      <c r="E26" s="97"/>
      <c r="F26" s="97">
        <v>1</v>
      </c>
      <c r="G26" s="97" t="s">
        <v>453</v>
      </c>
      <c r="H26" s="97" t="s">
        <v>98</v>
      </c>
      <c r="I26" s="97" t="s">
        <v>453</v>
      </c>
      <c r="J26" s="97" t="s">
        <v>98</v>
      </c>
      <c r="K26" s="97" t="s">
        <v>98</v>
      </c>
      <c r="L26" s="416">
        <v>45292</v>
      </c>
      <c r="M26" s="223">
        <v>0.05</v>
      </c>
      <c r="N26" s="132">
        <v>14.2</v>
      </c>
    </row>
    <row r="27" spans="1:14">
      <c r="A27" s="504"/>
      <c r="B27" s="155" t="s">
        <v>561</v>
      </c>
      <c r="C27" s="415">
        <v>16.05</v>
      </c>
      <c r="D27" s="157">
        <v>1</v>
      </c>
      <c r="E27" s="157"/>
      <c r="F27" s="157">
        <v>1</v>
      </c>
      <c r="G27" s="157" t="s">
        <v>453</v>
      </c>
      <c r="H27" s="157" t="s">
        <v>98</v>
      </c>
      <c r="I27" s="157" t="s">
        <v>453</v>
      </c>
      <c r="J27" s="157" t="s">
        <v>98</v>
      </c>
      <c r="K27" s="157" t="s">
        <v>98</v>
      </c>
      <c r="L27" s="416">
        <v>45292</v>
      </c>
      <c r="M27" s="223">
        <v>0.05</v>
      </c>
      <c r="N27" s="132"/>
    </row>
    <row r="28" spans="1:14">
      <c r="A28" s="504"/>
      <c r="B28" s="95" t="s">
        <v>562</v>
      </c>
      <c r="C28" s="415">
        <f>(C27+C29)/2</f>
        <v>18.73</v>
      </c>
      <c r="D28" s="97">
        <v>1</v>
      </c>
      <c r="E28" s="97"/>
      <c r="F28" s="97">
        <v>1</v>
      </c>
      <c r="G28" s="97" t="s">
        <v>453</v>
      </c>
      <c r="H28" s="97" t="s">
        <v>98</v>
      </c>
      <c r="I28" s="97" t="s">
        <v>453</v>
      </c>
      <c r="J28" s="97" t="s">
        <v>98</v>
      </c>
      <c r="K28" s="97" t="s">
        <v>98</v>
      </c>
      <c r="L28" s="416">
        <v>45292</v>
      </c>
      <c r="M28" s="223">
        <v>0.05</v>
      </c>
      <c r="N28" s="132">
        <v>19.63</v>
      </c>
    </row>
    <row r="29" spans="1:14">
      <c r="A29" s="504"/>
      <c r="B29" s="155" t="s">
        <v>563</v>
      </c>
      <c r="C29" s="415">
        <v>21.41</v>
      </c>
      <c r="D29" s="157">
        <v>1</v>
      </c>
      <c r="E29" s="157"/>
      <c r="F29" s="157">
        <v>1</v>
      </c>
      <c r="G29" s="157" t="s">
        <v>453</v>
      </c>
      <c r="H29" s="157" t="s">
        <v>98</v>
      </c>
      <c r="I29" s="157" t="s">
        <v>453</v>
      </c>
      <c r="J29" s="157" t="s">
        <v>98</v>
      </c>
      <c r="K29" s="157" t="s">
        <v>98</v>
      </c>
      <c r="L29" s="416">
        <v>45292</v>
      </c>
      <c r="M29" s="223">
        <v>0.05</v>
      </c>
      <c r="N29" s="132"/>
    </row>
    <row r="30" spans="1:14">
      <c r="A30" s="504"/>
      <c r="B30" s="95" t="s">
        <v>564</v>
      </c>
      <c r="C30" s="415">
        <f>(C29+C31)/2</f>
        <v>24.08</v>
      </c>
      <c r="D30" s="97">
        <v>1</v>
      </c>
      <c r="E30" s="97"/>
      <c r="F30" s="97">
        <v>1</v>
      </c>
      <c r="G30" s="97" t="s">
        <v>453</v>
      </c>
      <c r="H30" s="97" t="s">
        <v>98</v>
      </c>
      <c r="I30" s="97" t="s">
        <v>453</v>
      </c>
      <c r="J30" s="97" t="s">
        <v>98</v>
      </c>
      <c r="K30" s="97" t="s">
        <v>98</v>
      </c>
      <c r="L30" s="416">
        <v>45292</v>
      </c>
      <c r="M30" s="223">
        <v>0.05</v>
      </c>
      <c r="N30" s="132">
        <v>25.23</v>
      </c>
    </row>
    <row r="31" spans="1:14">
      <c r="A31" s="504"/>
      <c r="B31" s="155" t="s">
        <v>565</v>
      </c>
      <c r="C31" s="415">
        <v>26.75</v>
      </c>
      <c r="D31" s="157">
        <v>1</v>
      </c>
      <c r="E31" s="157"/>
      <c r="F31" s="157">
        <v>1</v>
      </c>
      <c r="G31" s="157" t="s">
        <v>453</v>
      </c>
      <c r="H31" s="157" t="s">
        <v>98</v>
      </c>
      <c r="I31" s="157" t="s">
        <v>453</v>
      </c>
      <c r="J31" s="157" t="s">
        <v>98</v>
      </c>
      <c r="K31" s="157" t="s">
        <v>98</v>
      </c>
      <c r="L31" s="416">
        <v>45292</v>
      </c>
      <c r="M31" s="223">
        <v>0.05</v>
      </c>
      <c r="N31" s="132"/>
    </row>
    <row r="32" spans="1:14">
      <c r="A32" s="504"/>
      <c r="B32" s="95" t="s">
        <v>568</v>
      </c>
      <c r="C32" s="415">
        <f>(C31+C33)/2</f>
        <v>29.434999999999999</v>
      </c>
      <c r="D32" s="97">
        <v>1</v>
      </c>
      <c r="E32" s="97"/>
      <c r="F32" s="97">
        <v>1</v>
      </c>
      <c r="G32" s="97" t="s">
        <v>453</v>
      </c>
      <c r="H32" s="97" t="s">
        <v>98</v>
      </c>
      <c r="I32" s="97" t="s">
        <v>453</v>
      </c>
      <c r="J32" s="97" t="s">
        <v>98</v>
      </c>
      <c r="K32" s="97" t="s">
        <v>98</v>
      </c>
      <c r="L32" s="416">
        <v>45292</v>
      </c>
      <c r="M32" s="223">
        <v>0.05</v>
      </c>
      <c r="N32" s="132">
        <v>30.84</v>
      </c>
    </row>
    <row r="33" spans="1:14">
      <c r="A33" s="504"/>
      <c r="B33" s="155" t="s">
        <v>566</v>
      </c>
      <c r="C33" s="415">
        <v>32.119999999999997</v>
      </c>
      <c r="D33" s="157">
        <v>1</v>
      </c>
      <c r="E33" s="157"/>
      <c r="F33" s="157">
        <v>1</v>
      </c>
      <c r="G33" s="157" t="s">
        <v>453</v>
      </c>
      <c r="H33" s="157" t="s">
        <v>98</v>
      </c>
      <c r="I33" s="157" t="s">
        <v>453</v>
      </c>
      <c r="J33" s="157" t="s">
        <v>98</v>
      </c>
      <c r="K33" s="157" t="s">
        <v>98</v>
      </c>
      <c r="L33" s="416">
        <v>45292</v>
      </c>
      <c r="M33" s="223">
        <v>0.05</v>
      </c>
      <c r="N33" s="132"/>
    </row>
    <row r="34" spans="1:14">
      <c r="A34" s="504"/>
      <c r="B34" s="95" t="s">
        <v>569</v>
      </c>
      <c r="C34" s="415">
        <f>(C33+C35)/2</f>
        <v>34.79</v>
      </c>
      <c r="D34" s="97">
        <v>1</v>
      </c>
      <c r="E34" s="97"/>
      <c r="F34" s="97">
        <v>1</v>
      </c>
      <c r="G34" s="97" t="s">
        <v>453</v>
      </c>
      <c r="H34" s="97" t="s">
        <v>98</v>
      </c>
      <c r="I34" s="97" t="s">
        <v>453</v>
      </c>
      <c r="J34" s="97" t="s">
        <v>98</v>
      </c>
      <c r="K34" s="97" t="s">
        <v>98</v>
      </c>
      <c r="L34" s="416">
        <v>45292</v>
      </c>
      <c r="M34" s="223">
        <v>0.05</v>
      </c>
      <c r="N34" s="132">
        <v>36.450000000000003</v>
      </c>
    </row>
    <row r="35" spans="1:14">
      <c r="A35" s="504"/>
      <c r="B35" s="155" t="s">
        <v>567</v>
      </c>
      <c r="C35" s="415">
        <v>37.46</v>
      </c>
      <c r="D35" s="157">
        <v>1</v>
      </c>
      <c r="E35" s="157"/>
      <c r="F35" s="157">
        <v>1</v>
      </c>
      <c r="G35" s="157" t="s">
        <v>453</v>
      </c>
      <c r="H35" s="157" t="s">
        <v>98</v>
      </c>
      <c r="I35" s="157" t="s">
        <v>453</v>
      </c>
      <c r="J35" s="157" t="s">
        <v>98</v>
      </c>
      <c r="K35" s="157" t="s">
        <v>98</v>
      </c>
      <c r="L35" s="416">
        <v>45292</v>
      </c>
      <c r="M35" s="223">
        <v>0.05</v>
      </c>
      <c r="N35" s="132"/>
    </row>
    <row r="36" spans="1:14">
      <c r="A36" s="504"/>
      <c r="B36" s="95" t="s">
        <v>570</v>
      </c>
      <c r="C36" s="415">
        <f>(C35+C37)/2</f>
        <v>40.14</v>
      </c>
      <c r="D36" s="97">
        <v>1</v>
      </c>
      <c r="E36" s="97"/>
      <c r="F36" s="97">
        <v>1</v>
      </c>
      <c r="G36" s="97" t="s">
        <v>453</v>
      </c>
      <c r="H36" s="97" t="s">
        <v>98</v>
      </c>
      <c r="I36" s="97" t="s">
        <v>453</v>
      </c>
      <c r="J36" s="97" t="s">
        <v>98</v>
      </c>
      <c r="K36" s="97" t="s">
        <v>98</v>
      </c>
      <c r="L36" s="416">
        <v>45292</v>
      </c>
      <c r="M36" s="223">
        <v>0.05</v>
      </c>
      <c r="N36" s="132">
        <v>42.06</v>
      </c>
    </row>
    <row r="37" spans="1:14">
      <c r="A37" s="504"/>
      <c r="B37" s="155" t="s">
        <v>571</v>
      </c>
      <c r="C37" s="415">
        <v>42.82</v>
      </c>
      <c r="D37" s="157">
        <v>1</v>
      </c>
      <c r="E37" s="157"/>
      <c r="F37" s="157">
        <v>1</v>
      </c>
      <c r="G37" s="157" t="s">
        <v>453</v>
      </c>
      <c r="H37" s="157" t="s">
        <v>98</v>
      </c>
      <c r="I37" s="157" t="s">
        <v>453</v>
      </c>
      <c r="J37" s="157" t="s">
        <v>98</v>
      </c>
      <c r="K37" s="157" t="s">
        <v>98</v>
      </c>
      <c r="L37" s="416">
        <v>45292</v>
      </c>
      <c r="M37" s="223">
        <v>0.05</v>
      </c>
    </row>
    <row r="38" spans="1:14">
      <c r="A38" s="504"/>
      <c r="B38" s="155" t="s">
        <v>943</v>
      </c>
      <c r="C38" s="415">
        <v>45.5</v>
      </c>
      <c r="D38" s="157">
        <v>1</v>
      </c>
      <c r="E38" s="157"/>
      <c r="F38" s="157">
        <v>1</v>
      </c>
      <c r="G38" s="157" t="s">
        <v>453</v>
      </c>
      <c r="H38" s="157" t="s">
        <v>98</v>
      </c>
      <c r="I38" s="157" t="s">
        <v>453</v>
      </c>
      <c r="J38" s="157" t="s">
        <v>98</v>
      </c>
      <c r="K38" s="157" t="s">
        <v>98</v>
      </c>
      <c r="L38" s="416">
        <v>45292</v>
      </c>
      <c r="M38" s="223">
        <v>0.05</v>
      </c>
    </row>
    <row r="39" spans="1:14">
      <c r="A39" s="504"/>
      <c r="B39" s="155" t="s">
        <v>944</v>
      </c>
      <c r="C39" s="415">
        <v>48.2</v>
      </c>
      <c r="D39" s="157">
        <v>1</v>
      </c>
      <c r="E39" s="157"/>
      <c r="F39" s="157">
        <v>1</v>
      </c>
      <c r="G39" s="157" t="s">
        <v>453</v>
      </c>
      <c r="H39" s="157" t="s">
        <v>98</v>
      </c>
      <c r="I39" s="157" t="s">
        <v>453</v>
      </c>
      <c r="J39" s="157" t="s">
        <v>98</v>
      </c>
      <c r="K39" s="157" t="s">
        <v>98</v>
      </c>
      <c r="L39" s="416">
        <v>45292</v>
      </c>
      <c r="M39" s="223">
        <v>0.05</v>
      </c>
    </row>
    <row r="40" spans="1:14">
      <c r="A40" s="504"/>
      <c r="B40" s="155" t="s">
        <v>945</v>
      </c>
      <c r="C40" s="415">
        <v>50.8</v>
      </c>
      <c r="D40" s="157">
        <v>1</v>
      </c>
      <c r="E40" s="157"/>
      <c r="F40" s="157">
        <v>1</v>
      </c>
      <c r="G40" s="157" t="s">
        <v>453</v>
      </c>
      <c r="H40" s="157" t="s">
        <v>98</v>
      </c>
      <c r="I40" s="157" t="s">
        <v>453</v>
      </c>
      <c r="J40" s="157" t="s">
        <v>98</v>
      </c>
      <c r="K40" s="157" t="s">
        <v>98</v>
      </c>
      <c r="L40" s="416">
        <v>45292</v>
      </c>
      <c r="M40" s="223">
        <v>0.05</v>
      </c>
    </row>
    <row r="41" spans="1:14">
      <c r="A41" s="504"/>
      <c r="B41" s="155" t="s">
        <v>946</v>
      </c>
      <c r="C41" s="415">
        <v>53.5</v>
      </c>
      <c r="D41" s="157">
        <v>1</v>
      </c>
      <c r="E41" s="157"/>
      <c r="F41" s="157">
        <v>1</v>
      </c>
      <c r="G41" s="157" t="s">
        <v>453</v>
      </c>
      <c r="H41" s="157" t="s">
        <v>98</v>
      </c>
      <c r="I41" s="157" t="s">
        <v>453</v>
      </c>
      <c r="J41" s="157" t="s">
        <v>98</v>
      </c>
      <c r="K41" s="157" t="s">
        <v>98</v>
      </c>
      <c r="L41" s="416">
        <v>45292</v>
      </c>
      <c r="M41" s="223">
        <v>0.05</v>
      </c>
    </row>
    <row r="42" spans="1:14">
      <c r="A42" s="504"/>
      <c r="B42" s="155" t="s">
        <v>947</v>
      </c>
      <c r="C42" s="415">
        <v>66.900000000000006</v>
      </c>
      <c r="D42" s="157">
        <v>1</v>
      </c>
      <c r="E42" s="157"/>
      <c r="F42" s="157">
        <v>1</v>
      </c>
      <c r="G42" s="157" t="s">
        <v>453</v>
      </c>
      <c r="H42" s="157" t="s">
        <v>98</v>
      </c>
      <c r="I42" s="157" t="s">
        <v>453</v>
      </c>
      <c r="J42" s="157" t="s">
        <v>98</v>
      </c>
      <c r="K42" s="157" t="s">
        <v>98</v>
      </c>
      <c r="L42" s="416">
        <v>45292</v>
      </c>
      <c r="M42" s="223">
        <v>0.05</v>
      </c>
    </row>
    <row r="43" spans="1:14">
      <c r="A43" s="504"/>
      <c r="B43" s="95" t="s">
        <v>98</v>
      </c>
      <c r="C43" s="97"/>
      <c r="D43" s="97"/>
      <c r="E43" s="97"/>
      <c r="F43" s="98"/>
      <c r="G43" s="97"/>
      <c r="H43" s="97"/>
      <c r="I43" s="97"/>
      <c r="J43" s="97"/>
      <c r="K43" s="97"/>
    </row>
    <row r="44" spans="1:14">
      <c r="A44" s="504"/>
      <c r="B44" s="155" t="s">
        <v>572</v>
      </c>
      <c r="C44" s="193">
        <f>132.33/F44</f>
        <v>12.602857142857143</v>
      </c>
      <c r="D44" s="157">
        <v>1</v>
      </c>
      <c r="E44" s="156"/>
      <c r="F44" s="159">
        <v>10.5</v>
      </c>
      <c r="G44" s="157" t="s">
        <v>453</v>
      </c>
      <c r="H44" s="157" t="s">
        <v>98</v>
      </c>
      <c r="I44" s="157" t="s">
        <v>453</v>
      </c>
      <c r="J44" s="157" t="s">
        <v>98</v>
      </c>
      <c r="K44" s="157" t="s">
        <v>98</v>
      </c>
      <c r="L44" s="160">
        <v>44927</v>
      </c>
      <c r="M44" s="223">
        <v>0.1</v>
      </c>
    </row>
    <row r="45" spans="1:14">
      <c r="A45" s="504"/>
      <c r="B45" s="155" t="s">
        <v>573</v>
      </c>
      <c r="C45" s="415">
        <v>17.350000000000001</v>
      </c>
      <c r="D45" s="157">
        <v>1</v>
      </c>
      <c r="E45" s="156"/>
      <c r="F45" s="417">
        <v>7.5</v>
      </c>
      <c r="G45" s="157" t="s">
        <v>453</v>
      </c>
      <c r="H45" s="157" t="s">
        <v>98</v>
      </c>
      <c r="I45" s="157" t="s">
        <v>453</v>
      </c>
      <c r="J45" s="157" t="s">
        <v>98</v>
      </c>
      <c r="K45" s="157" t="s">
        <v>98</v>
      </c>
      <c r="L45" s="416">
        <v>45292</v>
      </c>
      <c r="M45" s="223">
        <v>0.1</v>
      </c>
    </row>
    <row r="46" spans="1:14">
      <c r="A46" s="504"/>
      <c r="B46" s="155" t="s">
        <v>574</v>
      </c>
      <c r="C46" s="193">
        <f>125.98/F46</f>
        <v>20.996666666666666</v>
      </c>
      <c r="D46" s="157">
        <v>1</v>
      </c>
      <c r="E46" s="156"/>
      <c r="F46" s="158">
        <v>6</v>
      </c>
      <c r="G46" s="157" t="s">
        <v>453</v>
      </c>
      <c r="H46" s="157" t="s">
        <v>98</v>
      </c>
      <c r="I46" s="157" t="s">
        <v>453</v>
      </c>
      <c r="J46" s="157" t="s">
        <v>98</v>
      </c>
      <c r="K46" s="157" t="s">
        <v>98</v>
      </c>
      <c r="L46" s="160">
        <v>44927</v>
      </c>
      <c r="M46" s="223">
        <v>0.1</v>
      </c>
    </row>
    <row r="47" spans="1:14">
      <c r="A47" s="504"/>
      <c r="B47" s="155" t="s">
        <v>575</v>
      </c>
      <c r="C47" s="415">
        <v>26.06</v>
      </c>
      <c r="D47" s="157">
        <v>1</v>
      </c>
      <c r="E47" s="156"/>
      <c r="F47" s="417">
        <v>5.25</v>
      </c>
      <c r="G47" s="157" t="s">
        <v>453</v>
      </c>
      <c r="H47" s="157" t="s">
        <v>98</v>
      </c>
      <c r="I47" s="157" t="s">
        <v>453</v>
      </c>
      <c r="J47" s="157" t="s">
        <v>98</v>
      </c>
      <c r="K47" s="157" t="s">
        <v>98</v>
      </c>
      <c r="L47" s="416">
        <v>45292</v>
      </c>
      <c r="M47" s="223">
        <v>0.1</v>
      </c>
    </row>
    <row r="48" spans="1:14">
      <c r="A48" s="504"/>
      <c r="B48" s="155" t="s">
        <v>576</v>
      </c>
      <c r="C48" s="415">
        <v>34.74</v>
      </c>
      <c r="D48" s="157">
        <v>1</v>
      </c>
      <c r="E48" s="156"/>
      <c r="F48" s="417">
        <v>3.75</v>
      </c>
      <c r="G48" s="157" t="s">
        <v>453</v>
      </c>
      <c r="H48" s="157" t="s">
        <v>98</v>
      </c>
      <c r="I48" s="157" t="s">
        <v>453</v>
      </c>
      <c r="J48" s="157" t="s">
        <v>98</v>
      </c>
      <c r="K48" s="157" t="s">
        <v>98</v>
      </c>
      <c r="L48" s="416">
        <v>45292</v>
      </c>
      <c r="M48" s="223">
        <v>0.1</v>
      </c>
    </row>
    <row r="49" spans="1:15">
      <c r="A49" s="504"/>
      <c r="B49" s="155" t="s">
        <v>577</v>
      </c>
      <c r="C49" s="415">
        <v>40.98</v>
      </c>
      <c r="D49" s="157">
        <v>1</v>
      </c>
      <c r="E49" s="156"/>
      <c r="F49" s="417">
        <v>3</v>
      </c>
      <c r="G49" s="157" t="s">
        <v>453</v>
      </c>
      <c r="H49" s="157" t="s">
        <v>98</v>
      </c>
      <c r="I49" s="157" t="s">
        <v>453</v>
      </c>
      <c r="J49" s="157" t="s">
        <v>98</v>
      </c>
      <c r="K49" s="157" t="s">
        <v>98</v>
      </c>
      <c r="L49" s="416">
        <v>45292</v>
      </c>
      <c r="M49" s="223">
        <v>0.1</v>
      </c>
    </row>
    <row r="50" spans="1:15">
      <c r="A50" s="504"/>
      <c r="B50" s="155" t="s">
        <v>578</v>
      </c>
      <c r="C50" s="415">
        <v>48.05</v>
      </c>
      <c r="D50" s="157">
        <v>1</v>
      </c>
      <c r="E50" s="156"/>
      <c r="F50" s="417">
        <v>2.25</v>
      </c>
      <c r="G50" s="157" t="s">
        <v>453</v>
      </c>
      <c r="H50" s="157" t="s">
        <v>98</v>
      </c>
      <c r="I50" s="157" t="s">
        <v>453</v>
      </c>
      <c r="J50" s="157" t="s">
        <v>98</v>
      </c>
      <c r="K50" s="157" t="s">
        <v>98</v>
      </c>
      <c r="L50" s="416">
        <v>45292</v>
      </c>
      <c r="M50" s="223">
        <v>0.1</v>
      </c>
    </row>
    <row r="51" spans="1:15">
      <c r="A51" s="504"/>
      <c r="B51" s="107" t="s">
        <v>98</v>
      </c>
      <c r="C51" s="96"/>
      <c r="D51" s="97"/>
      <c r="E51" s="96"/>
      <c r="F51" s="98"/>
      <c r="G51" s="97"/>
      <c r="H51" s="97"/>
      <c r="I51" s="97"/>
      <c r="J51" s="97"/>
      <c r="K51" s="97"/>
    </row>
    <row r="52" spans="1:15">
      <c r="A52" s="504"/>
      <c r="B52" s="155" t="s">
        <v>590</v>
      </c>
      <c r="C52" s="415">
        <v>20.25</v>
      </c>
      <c r="D52" s="157">
        <v>1</v>
      </c>
      <c r="E52" s="157"/>
      <c r="F52" s="417">
        <v>7.2</v>
      </c>
      <c r="G52" s="157" t="s">
        <v>453</v>
      </c>
      <c r="H52" s="157" t="s">
        <v>98</v>
      </c>
      <c r="I52" s="157" t="s">
        <v>453</v>
      </c>
      <c r="J52" s="415">
        <v>145.77000000000001</v>
      </c>
      <c r="K52" s="193">
        <f>J52</f>
        <v>145.77000000000001</v>
      </c>
      <c r="L52" s="416">
        <v>45292</v>
      </c>
      <c r="O52" s="78">
        <v>19.559999999999999</v>
      </c>
    </row>
    <row r="53" spans="1:15">
      <c r="A53" s="504"/>
      <c r="B53" s="155" t="s">
        <v>591</v>
      </c>
      <c r="C53" s="415">
        <v>30.18</v>
      </c>
      <c r="D53" s="157">
        <v>1</v>
      </c>
      <c r="E53" s="157"/>
      <c r="F53" s="417">
        <v>7.2</v>
      </c>
      <c r="G53" s="157" t="s">
        <v>453</v>
      </c>
      <c r="H53" s="157" t="s">
        <v>98</v>
      </c>
      <c r="I53" s="157" t="s">
        <v>453</v>
      </c>
      <c r="J53" s="415">
        <v>217.3</v>
      </c>
      <c r="K53" s="193">
        <f t="shared" ref="K53:K57" si="0">J53</f>
        <v>217.3</v>
      </c>
      <c r="L53" s="416">
        <v>45292</v>
      </c>
      <c r="O53" s="78">
        <v>29.16</v>
      </c>
    </row>
    <row r="54" spans="1:15">
      <c r="A54" s="504"/>
      <c r="B54" s="155" t="s">
        <v>592</v>
      </c>
      <c r="C54" s="415">
        <v>40.119999999999997</v>
      </c>
      <c r="D54" s="157">
        <v>1</v>
      </c>
      <c r="E54" s="157"/>
      <c r="F54" s="417">
        <v>3.6</v>
      </c>
      <c r="G54" s="157" t="s">
        <v>453</v>
      </c>
      <c r="H54" s="157" t="s">
        <v>98</v>
      </c>
      <c r="I54" s="157" t="s">
        <v>453</v>
      </c>
      <c r="J54" s="415">
        <v>144.41999999999999</v>
      </c>
      <c r="K54" s="193">
        <f t="shared" si="0"/>
        <v>144.41999999999999</v>
      </c>
      <c r="L54" s="416">
        <v>45292</v>
      </c>
      <c r="O54" s="78">
        <v>38.76</v>
      </c>
    </row>
    <row r="55" spans="1:15">
      <c r="A55" s="504"/>
      <c r="B55" s="155" t="s">
        <v>593</v>
      </c>
      <c r="C55" s="415">
        <v>50.05</v>
      </c>
      <c r="D55" s="157">
        <v>1</v>
      </c>
      <c r="E55" s="157"/>
      <c r="F55" s="417">
        <v>2.88</v>
      </c>
      <c r="G55" s="157" t="s">
        <v>453</v>
      </c>
      <c r="H55" s="157" t="s">
        <v>98</v>
      </c>
      <c r="I55" s="157" t="s">
        <v>453</v>
      </c>
      <c r="J55" s="415">
        <v>144.15</v>
      </c>
      <c r="K55" s="193">
        <f t="shared" si="0"/>
        <v>144.15</v>
      </c>
      <c r="L55" s="416">
        <v>45292</v>
      </c>
      <c r="O55" s="78">
        <v>48.36</v>
      </c>
    </row>
    <row r="56" spans="1:15">
      <c r="A56" s="504"/>
      <c r="B56" s="155" t="s">
        <v>594</v>
      </c>
      <c r="C56" s="415">
        <v>60.41</v>
      </c>
      <c r="D56" s="157">
        <v>1</v>
      </c>
      <c r="E56" s="157"/>
      <c r="F56" s="417">
        <v>3.6</v>
      </c>
      <c r="G56" s="157" t="s">
        <v>453</v>
      </c>
      <c r="H56" s="157" t="s">
        <v>98</v>
      </c>
      <c r="I56" s="157" t="s">
        <v>453</v>
      </c>
      <c r="J56" s="415">
        <v>217.47</v>
      </c>
      <c r="K56" s="193">
        <f t="shared" si="0"/>
        <v>217.47</v>
      </c>
      <c r="L56" s="416">
        <v>45292</v>
      </c>
      <c r="O56" s="78">
        <v>58.37</v>
      </c>
    </row>
    <row r="57" spans="1:15">
      <c r="A57" s="504"/>
      <c r="B57" s="155" t="s">
        <v>595</v>
      </c>
      <c r="C57" s="415">
        <v>69.459999999999994</v>
      </c>
      <c r="D57" s="157">
        <v>1</v>
      </c>
      <c r="E57" s="157"/>
      <c r="F57" s="417">
        <v>2.16</v>
      </c>
      <c r="G57" s="157" t="s">
        <v>453</v>
      </c>
      <c r="H57" s="157" t="s">
        <v>98</v>
      </c>
      <c r="I57" s="157" t="s">
        <v>453</v>
      </c>
      <c r="J57" s="415">
        <v>150.03</v>
      </c>
      <c r="K57" s="193">
        <f t="shared" si="0"/>
        <v>150.03</v>
      </c>
      <c r="L57" s="416">
        <v>45292</v>
      </c>
      <c r="O57" s="78">
        <v>67.11</v>
      </c>
    </row>
    <row r="58" spans="1:15">
      <c r="A58" s="504"/>
      <c r="B58" s="95" t="s">
        <v>98</v>
      </c>
      <c r="C58" s="96"/>
      <c r="D58" s="97"/>
      <c r="E58" s="97"/>
      <c r="F58" s="98"/>
      <c r="G58" s="97"/>
      <c r="H58" s="97"/>
      <c r="I58" s="97"/>
      <c r="J58" s="97"/>
      <c r="K58" s="97"/>
    </row>
    <row r="59" spans="1:15">
      <c r="A59" s="504"/>
      <c r="B59" s="155" t="s">
        <v>948</v>
      </c>
      <c r="C59" s="193">
        <f>J59/F59</f>
        <v>12.140476190476191</v>
      </c>
      <c r="D59" s="157">
        <v>1</v>
      </c>
      <c r="E59" s="157"/>
      <c r="F59" s="159">
        <v>4.2</v>
      </c>
      <c r="G59" s="157" t="s">
        <v>453</v>
      </c>
      <c r="H59" s="157" t="s">
        <v>98</v>
      </c>
      <c r="I59" s="157" t="s">
        <v>453</v>
      </c>
      <c r="J59" s="193">
        <v>50.99</v>
      </c>
      <c r="K59" s="193">
        <f>J59</f>
        <v>50.99</v>
      </c>
      <c r="L59" s="160">
        <v>45108</v>
      </c>
      <c r="M59" s="143"/>
      <c r="O59" s="418">
        <v>12.1404761904762</v>
      </c>
    </row>
    <row r="60" spans="1:15">
      <c r="A60" s="504"/>
      <c r="B60" s="155" t="s">
        <v>597</v>
      </c>
      <c r="C60" s="415">
        <f>J60/F60</f>
        <v>26.638888888888889</v>
      </c>
      <c r="D60" s="157">
        <v>1</v>
      </c>
      <c r="E60" s="157"/>
      <c r="F60" s="419">
        <v>3.6</v>
      </c>
      <c r="G60" s="157" t="s">
        <v>453</v>
      </c>
      <c r="H60" s="157" t="s">
        <v>98</v>
      </c>
      <c r="I60" s="157" t="s">
        <v>453</v>
      </c>
      <c r="J60" s="415">
        <v>95.9</v>
      </c>
      <c r="K60" s="193">
        <f t="shared" ref="K60:K74" si="1">J60</f>
        <v>95.9</v>
      </c>
      <c r="L60" s="416">
        <v>45292</v>
      </c>
      <c r="M60" s="143"/>
      <c r="O60" s="418">
        <v>26.849999999999998</v>
      </c>
    </row>
    <row r="61" spans="1:15">
      <c r="A61" s="504"/>
      <c r="B61" s="155" t="s">
        <v>949</v>
      </c>
      <c r="C61" s="193">
        <f>J61/F61</f>
        <v>30.52</v>
      </c>
      <c r="D61" s="157">
        <v>1</v>
      </c>
      <c r="E61" s="157"/>
      <c r="F61" s="159">
        <v>3</v>
      </c>
      <c r="G61" s="157" t="s">
        <v>453</v>
      </c>
      <c r="H61" s="157" t="s">
        <v>98</v>
      </c>
      <c r="I61" s="157" t="s">
        <v>453</v>
      </c>
      <c r="J61" s="193">
        <v>91.56</v>
      </c>
      <c r="K61" s="193">
        <f t="shared" si="1"/>
        <v>91.56</v>
      </c>
      <c r="L61" s="160">
        <v>45108</v>
      </c>
      <c r="M61" s="143"/>
      <c r="O61" s="418">
        <v>30.52</v>
      </c>
    </row>
    <row r="62" spans="1:15">
      <c r="A62" s="504"/>
      <c r="B62" s="155" t="s">
        <v>598</v>
      </c>
      <c r="C62" s="415">
        <f>J62/F62</f>
        <v>36.536666666666669</v>
      </c>
      <c r="D62" s="157">
        <v>1</v>
      </c>
      <c r="E62" s="157"/>
      <c r="F62" s="419">
        <v>3</v>
      </c>
      <c r="G62" s="157" t="s">
        <v>453</v>
      </c>
      <c r="H62" s="157" t="s">
        <v>98</v>
      </c>
      <c r="I62" s="157" t="s">
        <v>453</v>
      </c>
      <c r="J62" s="415">
        <v>109.61</v>
      </c>
      <c r="K62" s="193">
        <f t="shared" si="1"/>
        <v>109.61</v>
      </c>
      <c r="L62" s="416">
        <v>45292</v>
      </c>
      <c r="M62" s="143"/>
      <c r="O62" s="418">
        <v>35.300000000000004</v>
      </c>
    </row>
    <row r="63" spans="1:15">
      <c r="A63" s="504"/>
      <c r="B63" s="155" t="s">
        <v>599</v>
      </c>
      <c r="C63" s="415">
        <f t="shared" ref="C63:C74" si="2">J63/F63</f>
        <v>46.95</v>
      </c>
      <c r="D63" s="157">
        <v>1</v>
      </c>
      <c r="E63" s="157"/>
      <c r="F63" s="419">
        <v>1.8</v>
      </c>
      <c r="G63" s="157" t="s">
        <v>453</v>
      </c>
      <c r="H63" s="157" t="s">
        <v>98</v>
      </c>
      <c r="I63" s="157" t="s">
        <v>453</v>
      </c>
      <c r="J63" s="415">
        <v>84.51</v>
      </c>
      <c r="K63" s="193">
        <f t="shared" si="1"/>
        <v>84.51</v>
      </c>
      <c r="L63" s="416">
        <v>45292</v>
      </c>
      <c r="M63" s="143"/>
      <c r="O63" s="418">
        <v>45.361111111111114</v>
      </c>
    </row>
    <row r="64" spans="1:15">
      <c r="A64" s="504"/>
      <c r="B64" s="155" t="s">
        <v>600</v>
      </c>
      <c r="C64" s="193">
        <f>J64/F64</f>
        <v>56.522222222222219</v>
      </c>
      <c r="D64" s="157">
        <v>1</v>
      </c>
      <c r="E64" s="157"/>
      <c r="F64" s="419">
        <v>1.8</v>
      </c>
      <c r="G64" s="157" t="s">
        <v>453</v>
      </c>
      <c r="H64" s="157" t="s">
        <v>98</v>
      </c>
      <c r="I64" s="157" t="s">
        <v>453</v>
      </c>
      <c r="J64" s="415">
        <v>101.74</v>
      </c>
      <c r="K64" s="193">
        <f t="shared" si="1"/>
        <v>101.74</v>
      </c>
      <c r="L64" s="416">
        <v>45292</v>
      </c>
      <c r="M64" s="143"/>
      <c r="O64" s="418">
        <v>54.611111111111107</v>
      </c>
    </row>
    <row r="65" spans="1:16">
      <c r="A65" s="504"/>
      <c r="B65" s="155" t="s">
        <v>601</v>
      </c>
      <c r="C65" s="193">
        <f t="shared" si="2"/>
        <v>63.355555555555554</v>
      </c>
      <c r="D65" s="157">
        <v>1</v>
      </c>
      <c r="E65" s="157"/>
      <c r="F65" s="419">
        <v>1.8</v>
      </c>
      <c r="G65" s="157" t="s">
        <v>453</v>
      </c>
      <c r="H65" s="157" t="s">
        <v>98</v>
      </c>
      <c r="I65" s="157" t="s">
        <v>453</v>
      </c>
      <c r="J65" s="415">
        <v>114.04</v>
      </c>
      <c r="K65" s="193">
        <f t="shared" si="1"/>
        <v>114.04</v>
      </c>
      <c r="L65" s="416">
        <v>45292</v>
      </c>
      <c r="M65" s="143"/>
      <c r="O65" s="418">
        <v>61.211111111111116</v>
      </c>
    </row>
    <row r="66" spans="1:16">
      <c r="A66" s="504"/>
      <c r="B66" s="155" t="s">
        <v>602</v>
      </c>
      <c r="C66" s="415">
        <f t="shared" si="2"/>
        <v>73.250000000000014</v>
      </c>
      <c r="D66" s="157">
        <v>1</v>
      </c>
      <c r="E66" s="157"/>
      <c r="F66" s="419">
        <v>1.2</v>
      </c>
      <c r="G66" s="157" t="s">
        <v>453</v>
      </c>
      <c r="H66" s="157" t="s">
        <v>98</v>
      </c>
      <c r="I66" s="157" t="s">
        <v>453</v>
      </c>
      <c r="J66" s="415">
        <v>87.9</v>
      </c>
      <c r="K66" s="193">
        <f t="shared" si="1"/>
        <v>87.9</v>
      </c>
      <c r="L66" s="416">
        <v>45292</v>
      </c>
      <c r="M66" s="143"/>
      <c r="O66" s="418">
        <v>70.775000000000006</v>
      </c>
    </row>
    <row r="67" spans="1:16">
      <c r="A67" s="504"/>
      <c r="B67" s="155" t="s">
        <v>603</v>
      </c>
      <c r="C67" s="415">
        <f t="shared" si="2"/>
        <v>85.88333333333334</v>
      </c>
      <c r="D67" s="157">
        <v>1</v>
      </c>
      <c r="E67" s="157"/>
      <c r="F67" s="419">
        <v>1.2</v>
      </c>
      <c r="G67" s="157" t="s">
        <v>453</v>
      </c>
      <c r="H67" s="157" t="s">
        <v>98</v>
      </c>
      <c r="I67" s="157" t="s">
        <v>453</v>
      </c>
      <c r="J67" s="415">
        <v>103.06</v>
      </c>
      <c r="K67" s="193">
        <f t="shared" si="1"/>
        <v>103.06</v>
      </c>
      <c r="L67" s="416">
        <v>45292</v>
      </c>
      <c r="M67" s="143"/>
      <c r="O67" s="418">
        <v>82.983333333333334</v>
      </c>
    </row>
    <row r="68" spans="1:16">
      <c r="A68" s="504"/>
      <c r="B68" s="155" t="s">
        <v>604</v>
      </c>
      <c r="C68" s="193">
        <f t="shared" si="2"/>
        <v>100.21666666666667</v>
      </c>
      <c r="D68" s="157">
        <v>1</v>
      </c>
      <c r="E68" s="157"/>
      <c r="F68" s="419">
        <v>1.2</v>
      </c>
      <c r="G68" s="157" t="s">
        <v>453</v>
      </c>
      <c r="H68" s="157" t="s">
        <v>98</v>
      </c>
      <c r="I68" s="157" t="s">
        <v>453</v>
      </c>
      <c r="J68" s="415">
        <v>120.26</v>
      </c>
      <c r="K68" s="193">
        <f t="shared" si="1"/>
        <v>120.26</v>
      </c>
      <c r="L68" s="416">
        <v>45292</v>
      </c>
      <c r="M68" s="143"/>
      <c r="O68" s="418">
        <v>96.833333333333343</v>
      </c>
    </row>
    <row r="69" spans="1:16">
      <c r="A69" s="504"/>
      <c r="B69" s="155" t="s">
        <v>605</v>
      </c>
      <c r="C69" s="415">
        <f t="shared" si="2"/>
        <v>107.5</v>
      </c>
      <c r="D69" s="157">
        <v>1</v>
      </c>
      <c r="E69" s="157"/>
      <c r="F69" s="419">
        <v>0.6</v>
      </c>
      <c r="G69" s="157" t="s">
        <v>453</v>
      </c>
      <c r="H69" s="157" t="s">
        <v>98</v>
      </c>
      <c r="I69" s="157" t="s">
        <v>453</v>
      </c>
      <c r="J69" s="415">
        <v>64.5</v>
      </c>
      <c r="K69" s="193">
        <f t="shared" si="1"/>
        <v>64.5</v>
      </c>
      <c r="L69" s="416">
        <v>45292</v>
      </c>
      <c r="M69" s="143"/>
      <c r="O69" s="418">
        <v>103.86666666666667</v>
      </c>
    </row>
    <row r="70" spans="1:16">
      <c r="A70" s="504"/>
      <c r="B70" s="155" t="s">
        <v>606</v>
      </c>
      <c r="C70" s="415">
        <f t="shared" si="2"/>
        <v>117.60000000000001</v>
      </c>
      <c r="D70" s="157">
        <v>1</v>
      </c>
      <c r="E70" s="157"/>
      <c r="F70" s="419">
        <v>0.6</v>
      </c>
      <c r="G70" s="157" t="s">
        <v>453</v>
      </c>
      <c r="H70" s="157" t="s">
        <v>98</v>
      </c>
      <c r="I70" s="157" t="s">
        <v>453</v>
      </c>
      <c r="J70" s="415">
        <v>70.56</v>
      </c>
      <c r="K70" s="193">
        <f t="shared" si="1"/>
        <v>70.56</v>
      </c>
      <c r="L70" s="416">
        <v>45292</v>
      </c>
      <c r="M70" s="143"/>
      <c r="O70" s="418">
        <v>113.61666666666667</v>
      </c>
    </row>
    <row r="71" spans="1:16">
      <c r="A71" s="504"/>
      <c r="B71" s="155" t="s">
        <v>607</v>
      </c>
      <c r="C71" s="415">
        <f t="shared" si="2"/>
        <v>129.61666666666667</v>
      </c>
      <c r="D71" s="157">
        <v>1</v>
      </c>
      <c r="E71" s="157"/>
      <c r="F71" s="419">
        <v>0.6</v>
      </c>
      <c r="G71" s="157" t="s">
        <v>453</v>
      </c>
      <c r="H71" s="157" t="s">
        <v>98</v>
      </c>
      <c r="I71" s="157" t="s">
        <v>453</v>
      </c>
      <c r="J71" s="415">
        <v>77.77</v>
      </c>
      <c r="K71" s="193">
        <f t="shared" si="1"/>
        <v>77.77</v>
      </c>
      <c r="L71" s="416">
        <v>45292</v>
      </c>
      <c r="M71" s="143"/>
      <c r="O71" s="418">
        <v>125.23333333333333</v>
      </c>
    </row>
    <row r="72" spans="1:16">
      <c r="A72" s="504"/>
      <c r="B72" s="155" t="s">
        <v>608</v>
      </c>
      <c r="C72" s="415">
        <f t="shared" si="2"/>
        <v>139.83333333333334</v>
      </c>
      <c r="D72" s="157">
        <v>1</v>
      </c>
      <c r="E72" s="157"/>
      <c r="F72" s="419">
        <v>0.6</v>
      </c>
      <c r="G72" s="157" t="s">
        <v>453</v>
      </c>
      <c r="H72" s="157" t="s">
        <v>98</v>
      </c>
      <c r="I72" s="157" t="s">
        <v>453</v>
      </c>
      <c r="J72" s="415">
        <v>83.9</v>
      </c>
      <c r="K72" s="193">
        <f t="shared" si="1"/>
        <v>83.9</v>
      </c>
      <c r="L72" s="416">
        <v>45292</v>
      </c>
      <c r="M72" s="143"/>
      <c r="O72" s="418">
        <v>135.10000000000002</v>
      </c>
    </row>
    <row r="73" spans="1:16">
      <c r="A73" s="504"/>
      <c r="B73" s="155" t="s">
        <v>609</v>
      </c>
      <c r="C73" s="415">
        <f t="shared" si="2"/>
        <v>148.35000000000002</v>
      </c>
      <c r="D73" s="157">
        <v>1</v>
      </c>
      <c r="E73" s="157"/>
      <c r="F73" s="419">
        <v>0.6</v>
      </c>
      <c r="G73" s="157" t="s">
        <v>453</v>
      </c>
      <c r="H73" s="157" t="s">
        <v>98</v>
      </c>
      <c r="I73" s="157" t="s">
        <v>453</v>
      </c>
      <c r="J73" s="415">
        <v>89.01</v>
      </c>
      <c r="K73" s="193">
        <f t="shared" si="1"/>
        <v>89.01</v>
      </c>
      <c r="L73" s="416">
        <v>45292</v>
      </c>
      <c r="M73" s="143"/>
      <c r="O73" s="418">
        <v>143.33333333333334</v>
      </c>
    </row>
    <row r="74" spans="1:16">
      <c r="A74" s="504"/>
      <c r="B74" s="155" t="s">
        <v>610</v>
      </c>
      <c r="C74" s="415">
        <f t="shared" si="2"/>
        <v>158.2166666666667</v>
      </c>
      <c r="D74" s="157">
        <v>1</v>
      </c>
      <c r="E74" s="157"/>
      <c r="F74" s="419">
        <v>0.6</v>
      </c>
      <c r="G74" s="157" t="s">
        <v>453</v>
      </c>
      <c r="H74" s="157" t="s">
        <v>98</v>
      </c>
      <c r="I74" s="157" t="s">
        <v>453</v>
      </c>
      <c r="J74" s="415">
        <v>94.93</v>
      </c>
      <c r="K74" s="193">
        <f t="shared" si="1"/>
        <v>94.93</v>
      </c>
      <c r="L74" s="416">
        <v>45292</v>
      </c>
      <c r="M74" s="143"/>
      <c r="O74" s="418">
        <v>152.86666666666667</v>
      </c>
    </row>
    <row r="75" spans="1:16">
      <c r="A75" s="504"/>
      <c r="B75" s="95" t="s">
        <v>98</v>
      </c>
      <c r="C75" s="96"/>
      <c r="D75" s="97"/>
      <c r="E75" s="97"/>
      <c r="F75" s="98"/>
      <c r="G75" s="97"/>
      <c r="H75" s="97"/>
      <c r="I75" s="97"/>
      <c r="J75" s="97"/>
      <c r="K75" s="97"/>
    </row>
    <row r="76" spans="1:16">
      <c r="A76" s="504"/>
      <c r="B76" s="95" t="s">
        <v>691</v>
      </c>
      <c r="C76" s="96">
        <v>38.770000000000003</v>
      </c>
      <c r="D76" s="97">
        <v>1</v>
      </c>
      <c r="E76" s="97"/>
      <c r="F76" s="99">
        <v>4.32</v>
      </c>
      <c r="G76" s="97" t="s">
        <v>453</v>
      </c>
      <c r="H76" s="97" t="s">
        <v>98</v>
      </c>
      <c r="I76" s="97" t="s">
        <v>453</v>
      </c>
      <c r="J76" s="145">
        <f>K76</f>
        <v>167.48640000000003</v>
      </c>
      <c r="K76" s="145">
        <f t="shared" ref="K76:K82" si="3">F76*C76</f>
        <v>167.48640000000003</v>
      </c>
      <c r="L76" s="142">
        <v>44652</v>
      </c>
      <c r="O76" s="78">
        <v>167.48640000000003</v>
      </c>
      <c r="P76" s="78">
        <v>167.48640000000003</v>
      </c>
    </row>
    <row r="77" spans="1:16">
      <c r="A77" s="504"/>
      <c r="B77" s="95" t="s">
        <v>692</v>
      </c>
      <c r="C77" s="96">
        <v>42.53</v>
      </c>
      <c r="D77" s="97">
        <v>1</v>
      </c>
      <c r="E77" s="97"/>
      <c r="F77" s="99">
        <v>3.6</v>
      </c>
      <c r="G77" s="97" t="s">
        <v>453</v>
      </c>
      <c r="H77" s="97" t="s">
        <v>98</v>
      </c>
      <c r="I77" s="97" t="s">
        <v>453</v>
      </c>
      <c r="J77" s="145">
        <f t="shared" ref="J77:J82" si="4">K77</f>
        <v>153.108</v>
      </c>
      <c r="K77" s="145">
        <f t="shared" si="3"/>
        <v>153.108</v>
      </c>
      <c r="L77" s="142">
        <v>44652</v>
      </c>
      <c r="O77" s="78">
        <v>153.108</v>
      </c>
      <c r="P77" s="78">
        <v>153.108</v>
      </c>
    </row>
    <row r="78" spans="1:16">
      <c r="A78" s="504"/>
      <c r="B78" s="95" t="s">
        <v>693</v>
      </c>
      <c r="C78" s="96">
        <v>56.58</v>
      </c>
      <c r="D78" s="97">
        <v>1</v>
      </c>
      <c r="E78" s="97"/>
      <c r="F78" s="99">
        <v>2.88</v>
      </c>
      <c r="G78" s="97" t="s">
        <v>453</v>
      </c>
      <c r="H78" s="97" t="s">
        <v>98</v>
      </c>
      <c r="I78" s="97" t="s">
        <v>453</v>
      </c>
      <c r="J78" s="145">
        <f t="shared" si="4"/>
        <v>162.9504</v>
      </c>
      <c r="K78" s="145">
        <f t="shared" si="3"/>
        <v>162.9504</v>
      </c>
      <c r="L78" s="142">
        <v>44652</v>
      </c>
      <c r="O78" s="78">
        <v>162.9504</v>
      </c>
      <c r="P78" s="78">
        <v>162.9504</v>
      </c>
    </row>
    <row r="79" spans="1:16">
      <c r="A79" s="504"/>
      <c r="B79" s="95" t="s">
        <v>694</v>
      </c>
      <c r="C79" s="96">
        <v>70.86</v>
      </c>
      <c r="D79" s="97">
        <v>1</v>
      </c>
      <c r="E79" s="97"/>
      <c r="F79" s="99">
        <v>2.16</v>
      </c>
      <c r="G79" s="97" t="s">
        <v>453</v>
      </c>
      <c r="H79" s="97" t="s">
        <v>98</v>
      </c>
      <c r="I79" s="97" t="s">
        <v>453</v>
      </c>
      <c r="J79" s="145">
        <f t="shared" si="4"/>
        <v>153.05760000000001</v>
      </c>
      <c r="K79" s="145">
        <f t="shared" si="3"/>
        <v>153.05760000000001</v>
      </c>
      <c r="L79" s="142">
        <v>44652</v>
      </c>
      <c r="O79" s="78">
        <v>153.05760000000001</v>
      </c>
      <c r="P79" s="78">
        <v>153.05760000000001</v>
      </c>
    </row>
    <row r="80" spans="1:16">
      <c r="A80" s="504"/>
      <c r="B80" s="95" t="s">
        <v>695</v>
      </c>
      <c r="C80" s="96">
        <v>85.15</v>
      </c>
      <c r="D80" s="97">
        <v>1</v>
      </c>
      <c r="E80" s="97"/>
      <c r="F80" s="99">
        <v>2.16</v>
      </c>
      <c r="G80" s="97" t="s">
        <v>453</v>
      </c>
      <c r="H80" s="97" t="s">
        <v>98</v>
      </c>
      <c r="I80" s="97" t="s">
        <v>453</v>
      </c>
      <c r="J80" s="145">
        <f t="shared" si="4"/>
        <v>183.92400000000004</v>
      </c>
      <c r="K80" s="145">
        <f t="shared" si="3"/>
        <v>183.92400000000004</v>
      </c>
      <c r="L80" s="142">
        <v>44652</v>
      </c>
      <c r="M80" s="94"/>
      <c r="O80" s="78">
        <v>183.92400000000004</v>
      </c>
      <c r="P80" s="78">
        <v>183.92400000000004</v>
      </c>
    </row>
    <row r="81" spans="1:16">
      <c r="A81" s="504"/>
      <c r="B81" s="95" t="s">
        <v>696</v>
      </c>
      <c r="C81" s="96">
        <v>98.22</v>
      </c>
      <c r="D81" s="97">
        <v>1</v>
      </c>
      <c r="E81" s="97"/>
      <c r="F81" s="99">
        <v>2.16</v>
      </c>
      <c r="G81" s="97" t="s">
        <v>453</v>
      </c>
      <c r="H81" s="97" t="s">
        <v>98</v>
      </c>
      <c r="I81" s="97" t="s">
        <v>453</v>
      </c>
      <c r="J81" s="145">
        <f t="shared" si="4"/>
        <v>212.15520000000001</v>
      </c>
      <c r="K81" s="145">
        <f t="shared" si="3"/>
        <v>212.15520000000001</v>
      </c>
      <c r="L81" s="142">
        <v>44652</v>
      </c>
      <c r="M81" s="94"/>
      <c r="O81" s="78">
        <v>212.15520000000001</v>
      </c>
      <c r="P81" s="78">
        <v>212.15520000000001</v>
      </c>
    </row>
    <row r="82" spans="1:16">
      <c r="A82" s="504"/>
      <c r="B82" s="95" t="s">
        <v>697</v>
      </c>
      <c r="C82" s="96">
        <v>89.54</v>
      </c>
      <c r="D82" s="97">
        <v>1</v>
      </c>
      <c r="E82" s="97"/>
      <c r="F82" s="99">
        <v>1.44</v>
      </c>
      <c r="G82" s="97" t="s">
        <v>453</v>
      </c>
      <c r="H82" s="97" t="s">
        <v>98</v>
      </c>
      <c r="I82" s="97" t="s">
        <v>453</v>
      </c>
      <c r="J82" s="145">
        <f t="shared" si="4"/>
        <v>128.9376</v>
      </c>
      <c r="K82" s="145">
        <f t="shared" si="3"/>
        <v>128.9376</v>
      </c>
      <c r="L82" s="142">
        <v>44652</v>
      </c>
      <c r="O82" s="78">
        <v>128.9376</v>
      </c>
      <c r="P82" s="78">
        <v>128.9376</v>
      </c>
    </row>
    <row r="83" spans="1:16">
      <c r="A83" s="504"/>
      <c r="B83" s="95" t="s">
        <v>98</v>
      </c>
      <c r="C83" s="96"/>
      <c r="D83" s="97"/>
      <c r="E83" s="97"/>
      <c r="F83" s="98"/>
      <c r="G83" s="97"/>
      <c r="H83" s="97"/>
      <c r="I83" s="97"/>
      <c r="J83" s="97"/>
      <c r="K83" s="97"/>
    </row>
    <row r="84" spans="1:16" ht="16.5">
      <c r="A84" s="504"/>
      <c r="B84" s="155" t="s">
        <v>698</v>
      </c>
      <c r="C84" s="129">
        <f>J84/F84</f>
        <v>19.569333333333336</v>
      </c>
      <c r="D84" s="157">
        <v>1</v>
      </c>
      <c r="E84" s="157"/>
      <c r="F84" s="158">
        <v>7.5</v>
      </c>
      <c r="G84" s="157" t="s">
        <v>646</v>
      </c>
      <c r="H84" s="157" t="s">
        <v>98</v>
      </c>
      <c r="I84" s="157" t="s">
        <v>453</v>
      </c>
      <c r="J84" s="193">
        <v>146.77000000000001</v>
      </c>
      <c r="K84" s="193">
        <f>J84</f>
        <v>146.77000000000001</v>
      </c>
      <c r="L84" s="8" t="s">
        <v>950</v>
      </c>
      <c r="O84" s="78">
        <v>146.77000000000001</v>
      </c>
      <c r="P84" s="78">
        <v>146.77000000000001</v>
      </c>
    </row>
    <row r="85" spans="1:16" ht="16.5">
      <c r="A85" s="504"/>
      <c r="B85" s="155" t="s">
        <v>699</v>
      </c>
      <c r="C85" s="129">
        <f t="shared" ref="C85:C89" si="5">J85/F85</f>
        <v>35.594999999999999</v>
      </c>
      <c r="D85" s="157">
        <v>1</v>
      </c>
      <c r="E85" s="157"/>
      <c r="F85" s="158">
        <v>4</v>
      </c>
      <c r="G85" s="157" t="s">
        <v>646</v>
      </c>
      <c r="H85" s="157" t="s">
        <v>98</v>
      </c>
      <c r="I85" s="157" t="s">
        <v>453</v>
      </c>
      <c r="J85" s="193">
        <v>142.38</v>
      </c>
      <c r="K85" s="193">
        <f t="shared" ref="K85:K89" si="6">J85</f>
        <v>142.38</v>
      </c>
      <c r="L85" s="8" t="s">
        <v>950</v>
      </c>
      <c r="O85" s="78">
        <v>142.38</v>
      </c>
      <c r="P85" s="78">
        <v>142.38</v>
      </c>
    </row>
    <row r="86" spans="1:16" ht="16.5">
      <c r="A86" s="504"/>
      <c r="B86" s="155" t="s">
        <v>700</v>
      </c>
      <c r="C86" s="129">
        <f t="shared" si="5"/>
        <v>53.472000000000001</v>
      </c>
      <c r="D86" s="157">
        <v>1</v>
      </c>
      <c r="E86" s="157"/>
      <c r="F86" s="158">
        <v>2.5</v>
      </c>
      <c r="G86" s="157" t="s">
        <v>646</v>
      </c>
      <c r="H86" s="157" t="s">
        <v>98</v>
      </c>
      <c r="I86" s="157" t="s">
        <v>453</v>
      </c>
      <c r="J86" s="193">
        <v>133.68</v>
      </c>
      <c r="K86" s="193">
        <f t="shared" si="6"/>
        <v>133.68</v>
      </c>
      <c r="L86" s="8" t="s">
        <v>950</v>
      </c>
      <c r="O86" s="78">
        <v>133.68</v>
      </c>
      <c r="P86" s="78">
        <v>133.68</v>
      </c>
    </row>
    <row r="87" spans="1:16" ht="16.5">
      <c r="A87" s="504"/>
      <c r="B87" s="155" t="s">
        <v>701</v>
      </c>
      <c r="C87" s="129">
        <f>J87/F87</f>
        <v>104.44</v>
      </c>
      <c r="D87" s="157">
        <v>1</v>
      </c>
      <c r="E87" s="157"/>
      <c r="F87" s="158">
        <v>2</v>
      </c>
      <c r="G87" s="157" t="s">
        <v>646</v>
      </c>
      <c r="H87" s="157" t="s">
        <v>98</v>
      </c>
      <c r="I87" s="157" t="s">
        <v>453</v>
      </c>
      <c r="J87" s="193">
        <v>208.88</v>
      </c>
      <c r="K87" s="193">
        <v>208.88</v>
      </c>
      <c r="L87" s="8" t="s">
        <v>950</v>
      </c>
      <c r="O87" s="78">
        <v>208.88</v>
      </c>
      <c r="P87" s="78">
        <v>208.88</v>
      </c>
    </row>
    <row r="88" spans="1:16" ht="16.5">
      <c r="A88" s="504"/>
      <c r="B88" s="155" t="s">
        <v>702</v>
      </c>
      <c r="C88" s="129">
        <f t="shared" si="5"/>
        <v>120.13333333333333</v>
      </c>
      <c r="D88" s="157">
        <v>1</v>
      </c>
      <c r="E88" s="157"/>
      <c r="F88" s="158">
        <v>1.5</v>
      </c>
      <c r="G88" s="157" t="s">
        <v>646</v>
      </c>
      <c r="H88" s="157" t="s">
        <v>98</v>
      </c>
      <c r="I88" s="157" t="s">
        <v>453</v>
      </c>
      <c r="J88" s="193">
        <v>180.2</v>
      </c>
      <c r="K88" s="193">
        <f t="shared" si="6"/>
        <v>180.2</v>
      </c>
      <c r="L88" s="8" t="s">
        <v>950</v>
      </c>
      <c r="O88" s="78">
        <v>180.2</v>
      </c>
      <c r="P88" s="78">
        <v>180.2</v>
      </c>
    </row>
    <row r="89" spans="1:16" ht="16.5">
      <c r="A89" s="504"/>
      <c r="B89" s="155" t="s">
        <v>703</v>
      </c>
      <c r="C89" s="129">
        <f t="shared" si="5"/>
        <v>106.78</v>
      </c>
      <c r="D89" s="157">
        <v>1</v>
      </c>
      <c r="E89" s="157"/>
      <c r="F89" s="158">
        <v>1</v>
      </c>
      <c r="G89" s="157" t="s">
        <v>646</v>
      </c>
      <c r="H89" s="157" t="s">
        <v>98</v>
      </c>
      <c r="I89" s="157" t="s">
        <v>453</v>
      </c>
      <c r="J89" s="193">
        <v>106.78</v>
      </c>
      <c r="K89" s="193">
        <f t="shared" si="6"/>
        <v>106.78</v>
      </c>
      <c r="L89" s="8" t="s">
        <v>950</v>
      </c>
      <c r="O89" s="78">
        <v>106.78</v>
      </c>
      <c r="P89" s="78">
        <v>106.78</v>
      </c>
    </row>
    <row r="90" spans="1:16">
      <c r="A90" s="504"/>
      <c r="B90" s="95" t="s">
        <v>98</v>
      </c>
      <c r="C90" s="96"/>
      <c r="D90" s="97"/>
      <c r="E90" s="97"/>
      <c r="F90" s="98"/>
      <c r="G90" s="97"/>
      <c r="H90" s="97"/>
      <c r="I90" s="97"/>
      <c r="J90" s="97"/>
      <c r="K90" s="97"/>
    </row>
    <row r="91" spans="1:16">
      <c r="A91" s="504"/>
      <c r="B91" s="155" t="s">
        <v>506</v>
      </c>
      <c r="C91" s="96" t="s">
        <v>98</v>
      </c>
      <c r="D91" s="156">
        <f>MID(B91,20,2)/10*1.6</f>
        <v>3.2</v>
      </c>
      <c r="E91" s="157"/>
      <c r="F91" s="158">
        <v>4.5999999999999996</v>
      </c>
      <c r="G91" s="159" t="s">
        <v>5</v>
      </c>
      <c r="H91" s="157">
        <v>220.8</v>
      </c>
      <c r="I91" s="157" t="s">
        <v>346</v>
      </c>
      <c r="J91" s="420">
        <v>30.87</v>
      </c>
      <c r="K91" s="415">
        <v>28.58</v>
      </c>
      <c r="L91" s="416">
        <v>45292</v>
      </c>
      <c r="O91" s="78">
        <v>30.01</v>
      </c>
      <c r="P91" s="418">
        <v>28.3</v>
      </c>
    </row>
    <row r="92" spans="1:16">
      <c r="A92" s="504"/>
      <c r="B92" s="155" t="s">
        <v>507</v>
      </c>
      <c r="C92" s="96" t="s">
        <v>98</v>
      </c>
      <c r="D92" s="156">
        <f>MID(B92,20,2)/10*1.6</f>
        <v>4.8000000000000007</v>
      </c>
      <c r="E92" s="157"/>
      <c r="F92" s="158">
        <v>4.5999999999999996</v>
      </c>
      <c r="G92" s="159" t="s">
        <v>5</v>
      </c>
      <c r="H92" s="157">
        <v>220.8</v>
      </c>
      <c r="I92" s="157" t="s">
        <v>346</v>
      </c>
      <c r="J92" s="420">
        <v>30.87</v>
      </c>
      <c r="K92" s="415">
        <v>28.58</v>
      </c>
      <c r="L92" s="416">
        <v>45292</v>
      </c>
      <c r="O92" s="78">
        <v>30.01</v>
      </c>
      <c r="P92" s="418">
        <v>28.3</v>
      </c>
    </row>
    <row r="93" spans="1:16">
      <c r="A93" s="504"/>
      <c r="B93" s="155" t="s">
        <v>508</v>
      </c>
      <c r="C93" s="96" t="s">
        <v>98</v>
      </c>
      <c r="D93" s="156">
        <f>MID(B93,20,2)/10*1.6</f>
        <v>6.4</v>
      </c>
      <c r="E93" s="157"/>
      <c r="F93" s="158">
        <v>4.5999999999999996</v>
      </c>
      <c r="G93" s="159" t="s">
        <v>5</v>
      </c>
      <c r="H93" s="157">
        <v>220.8</v>
      </c>
      <c r="I93" s="157" t="s">
        <v>346</v>
      </c>
      <c r="J93" s="420">
        <v>30.87</v>
      </c>
      <c r="K93" s="415">
        <v>28.58</v>
      </c>
      <c r="L93" s="416">
        <v>45292</v>
      </c>
      <c r="O93" s="78">
        <v>30.01</v>
      </c>
      <c r="P93" s="418">
        <v>28.3</v>
      </c>
    </row>
    <row r="94" spans="1:16">
      <c r="A94" s="504"/>
      <c r="B94" s="155" t="s">
        <v>509</v>
      </c>
      <c r="C94" s="96" t="s">
        <v>98</v>
      </c>
      <c r="D94" s="156">
        <f t="shared" ref="D94:D96" si="7">MID(B94,20,2)/10*1.6</f>
        <v>8</v>
      </c>
      <c r="E94" s="157"/>
      <c r="F94" s="158">
        <v>4.5999999999999996</v>
      </c>
      <c r="G94" s="159" t="s">
        <v>5</v>
      </c>
      <c r="H94" s="157">
        <v>220.8</v>
      </c>
      <c r="I94" s="157" t="s">
        <v>346</v>
      </c>
      <c r="J94" s="420">
        <v>30.87</v>
      </c>
      <c r="K94" s="415">
        <v>28.58</v>
      </c>
      <c r="L94" s="416">
        <v>45292</v>
      </c>
      <c r="O94" s="78">
        <v>30.01</v>
      </c>
      <c r="P94" s="418">
        <v>28.3</v>
      </c>
    </row>
    <row r="95" spans="1:16">
      <c r="A95" s="504"/>
      <c r="B95" s="155" t="s">
        <v>510</v>
      </c>
      <c r="C95" s="96" t="s">
        <v>98</v>
      </c>
      <c r="D95" s="156">
        <f t="shared" si="7"/>
        <v>9.6000000000000014</v>
      </c>
      <c r="E95" s="157"/>
      <c r="F95" s="158">
        <v>4.5999999999999996</v>
      </c>
      <c r="G95" s="159" t="s">
        <v>5</v>
      </c>
      <c r="H95" s="157">
        <v>220.8</v>
      </c>
      <c r="I95" s="157" t="s">
        <v>346</v>
      </c>
      <c r="J95" s="420">
        <v>30.87</v>
      </c>
      <c r="K95" s="415">
        <v>28.58</v>
      </c>
      <c r="L95" s="416">
        <v>45292</v>
      </c>
      <c r="O95" s="78">
        <v>30.01</v>
      </c>
      <c r="P95" s="418">
        <v>28.3</v>
      </c>
    </row>
    <row r="96" spans="1:16">
      <c r="A96" s="504"/>
      <c r="B96" s="155" t="s">
        <v>511</v>
      </c>
      <c r="C96" s="96" t="s">
        <v>98</v>
      </c>
      <c r="D96" s="156">
        <f t="shared" si="7"/>
        <v>11.200000000000001</v>
      </c>
      <c r="E96" s="157"/>
      <c r="F96" s="158">
        <v>4.5999999999999996</v>
      </c>
      <c r="G96" s="159" t="s">
        <v>5</v>
      </c>
      <c r="H96" s="157">
        <v>220.8</v>
      </c>
      <c r="I96" s="157" t="s">
        <v>346</v>
      </c>
      <c r="J96" s="420">
        <v>30.87</v>
      </c>
      <c r="K96" s="415">
        <v>28.58</v>
      </c>
      <c r="L96" s="416">
        <v>45292</v>
      </c>
      <c r="O96" s="78">
        <v>30.01</v>
      </c>
      <c r="P96" s="418">
        <v>28.3</v>
      </c>
    </row>
    <row r="97" spans="1:16">
      <c r="A97" s="504"/>
      <c r="B97" s="155" t="s">
        <v>512</v>
      </c>
      <c r="C97" s="96" t="s">
        <v>98</v>
      </c>
      <c r="D97" s="156">
        <f>MID(B97,20,2)/10*1.6</f>
        <v>12.8</v>
      </c>
      <c r="E97" s="157"/>
      <c r="F97" s="158">
        <v>4.5999999999999996</v>
      </c>
      <c r="G97" s="159" t="s">
        <v>5</v>
      </c>
      <c r="H97" s="157">
        <v>220.8</v>
      </c>
      <c r="I97" s="157" t="s">
        <v>346</v>
      </c>
      <c r="J97" s="420">
        <v>30.87</v>
      </c>
      <c r="K97" s="415">
        <v>28.58</v>
      </c>
      <c r="L97" s="416">
        <v>45292</v>
      </c>
      <c r="O97" s="78">
        <v>30.01</v>
      </c>
      <c r="P97" s="418">
        <v>28.3</v>
      </c>
    </row>
    <row r="98" spans="1:16">
      <c r="A98" s="238"/>
      <c r="B98" s="95" t="s">
        <v>98</v>
      </c>
      <c r="C98" s="95" t="s">
        <v>98</v>
      </c>
      <c r="D98" s="95" t="s">
        <v>98</v>
      </c>
      <c r="E98" s="95"/>
      <c r="F98" s="95" t="s">
        <v>98</v>
      </c>
      <c r="G98" s="95" t="s">
        <v>98</v>
      </c>
      <c r="H98" s="95" t="s">
        <v>98</v>
      </c>
      <c r="I98" s="95" t="s">
        <v>98</v>
      </c>
      <c r="J98" s="95" t="s">
        <v>98</v>
      </c>
      <c r="K98" s="95" t="s">
        <v>98</v>
      </c>
      <c r="L98" s="160"/>
    </row>
    <row r="99" spans="1:16" ht="16.5">
      <c r="A99" s="238"/>
      <c r="B99" s="95" t="s">
        <v>951</v>
      </c>
      <c r="C99" s="421">
        <f>J99/F99</f>
        <v>18.785416666666666</v>
      </c>
      <c r="D99" s="156">
        <v>1.2</v>
      </c>
      <c r="E99" s="97"/>
      <c r="F99" s="417">
        <v>9.6</v>
      </c>
      <c r="G99" s="157" t="s">
        <v>646</v>
      </c>
      <c r="H99" s="97" t="s">
        <v>98</v>
      </c>
      <c r="I99" s="157" t="s">
        <v>453</v>
      </c>
      <c r="J99" s="415">
        <v>180.34</v>
      </c>
      <c r="K99" s="415">
        <f>J99</f>
        <v>180.34</v>
      </c>
      <c r="L99" s="416">
        <v>45292</v>
      </c>
      <c r="O99" s="78">
        <v>18.149999999999999</v>
      </c>
    </row>
    <row r="100" spans="1:16" s="76" customFormat="1" ht="43.5">
      <c r="A100" s="72"/>
      <c r="B100" s="73"/>
      <c r="C100" s="73" t="s">
        <v>17</v>
      </c>
      <c r="D100" s="74" t="s">
        <v>428</v>
      </c>
      <c r="E100" s="74" t="s">
        <v>429</v>
      </c>
      <c r="F100" s="74" t="s">
        <v>294</v>
      </c>
      <c r="G100" s="73" t="s">
        <v>166</v>
      </c>
      <c r="H100" s="74" t="s">
        <v>348</v>
      </c>
      <c r="I100" s="74" t="s">
        <v>345</v>
      </c>
      <c r="J100" s="74" t="s">
        <v>360</v>
      </c>
      <c r="K100" s="74" t="s">
        <v>293</v>
      </c>
      <c r="L100" s="422"/>
    </row>
    <row r="101" spans="1:16">
      <c r="A101" s="501" t="s">
        <v>154</v>
      </c>
      <c r="B101" s="161" t="s">
        <v>513</v>
      </c>
      <c r="C101" s="162">
        <f>K101/F101</f>
        <v>1.0908</v>
      </c>
      <c r="D101" s="163">
        <v>6</v>
      </c>
      <c r="E101" s="163">
        <v>6</v>
      </c>
      <c r="F101" s="164">
        <v>25</v>
      </c>
      <c r="G101" s="163" t="s">
        <v>5</v>
      </c>
      <c r="H101" s="163">
        <v>1200</v>
      </c>
      <c r="I101" s="163" t="s">
        <v>346</v>
      </c>
      <c r="J101" s="423">
        <v>29.45</v>
      </c>
      <c r="K101" s="423">
        <v>27.27</v>
      </c>
      <c r="L101" s="416">
        <v>45292</v>
      </c>
      <c r="M101" s="143"/>
      <c r="O101" s="78">
        <v>28.69</v>
      </c>
      <c r="P101" s="418">
        <v>27</v>
      </c>
    </row>
    <row r="102" spans="1:16">
      <c r="A102" s="501"/>
      <c r="B102" s="161" t="s">
        <v>514</v>
      </c>
      <c r="C102" s="162">
        <f>K102/F102</f>
        <v>1.1768000000000001</v>
      </c>
      <c r="D102" s="163">
        <v>6</v>
      </c>
      <c r="E102" s="163">
        <v>6</v>
      </c>
      <c r="F102" s="164">
        <v>25</v>
      </c>
      <c r="G102" s="163" t="s">
        <v>5</v>
      </c>
      <c r="H102" s="163">
        <v>1200</v>
      </c>
      <c r="I102" s="163" t="s">
        <v>346</v>
      </c>
      <c r="J102" s="423">
        <v>31.78</v>
      </c>
      <c r="K102" s="423">
        <v>29.42</v>
      </c>
      <c r="L102" s="416">
        <v>45292</v>
      </c>
      <c r="M102" s="143"/>
      <c r="O102" s="78">
        <v>30.88</v>
      </c>
      <c r="P102" s="418">
        <v>29.13</v>
      </c>
    </row>
    <row r="103" spans="1:16">
      <c r="A103" s="501"/>
      <c r="B103" s="161" t="s">
        <v>515</v>
      </c>
      <c r="C103" s="162">
        <f>K103/F103</f>
        <v>2.0232000000000001</v>
      </c>
      <c r="D103" s="163">
        <v>5</v>
      </c>
      <c r="E103" s="163">
        <v>5</v>
      </c>
      <c r="F103" s="164">
        <v>25</v>
      </c>
      <c r="G103" s="163" t="s">
        <v>5</v>
      </c>
      <c r="H103" s="163">
        <v>1200</v>
      </c>
      <c r="I103" s="163" t="s">
        <v>346</v>
      </c>
      <c r="J103" s="423">
        <v>54.63</v>
      </c>
      <c r="K103" s="423">
        <v>50.58</v>
      </c>
      <c r="L103" s="416">
        <v>45292</v>
      </c>
      <c r="M103" s="143"/>
      <c r="O103" s="78">
        <v>53.11</v>
      </c>
      <c r="P103" s="418">
        <v>50.08</v>
      </c>
    </row>
    <row r="104" spans="1:16">
      <c r="A104" s="501"/>
      <c r="B104" s="161" t="s">
        <v>516</v>
      </c>
      <c r="C104" s="162">
        <f>K104/F104</f>
        <v>5.7747999999999999</v>
      </c>
      <c r="D104" s="163">
        <v>5</v>
      </c>
      <c r="E104" s="163">
        <v>4.5</v>
      </c>
      <c r="F104" s="164">
        <v>25</v>
      </c>
      <c r="G104" s="163" t="s">
        <v>5</v>
      </c>
      <c r="H104" s="163">
        <v>600</v>
      </c>
      <c r="I104" s="163" t="s">
        <v>353</v>
      </c>
      <c r="J104" s="423">
        <v>155.91999999999999</v>
      </c>
      <c r="K104" s="423">
        <v>144.37</v>
      </c>
      <c r="L104" s="416">
        <v>45292</v>
      </c>
      <c r="M104" s="143"/>
      <c r="O104" s="78">
        <v>151.46</v>
      </c>
      <c r="P104" s="418">
        <v>142.94</v>
      </c>
    </row>
    <row r="105" spans="1:16">
      <c r="A105" s="236"/>
      <c r="B105" s="424" t="s">
        <v>98</v>
      </c>
      <c r="C105" s="425"/>
      <c r="D105" s="426"/>
      <c r="E105" s="426"/>
      <c r="F105" s="427"/>
      <c r="G105" s="426"/>
      <c r="H105" s="426"/>
      <c r="I105" s="426"/>
      <c r="J105" s="426"/>
      <c r="K105" s="426"/>
      <c r="L105" s="132"/>
      <c r="M105" s="132"/>
    </row>
    <row r="106" spans="1:16">
      <c r="A106" s="502" t="s">
        <v>9</v>
      </c>
      <c r="B106" s="103" t="s">
        <v>98</v>
      </c>
      <c r="C106" s="100"/>
      <c r="D106" s="101"/>
      <c r="E106" s="101"/>
      <c r="F106" s="102"/>
      <c r="G106" s="101"/>
      <c r="H106" s="101"/>
      <c r="I106" s="101"/>
      <c r="J106" s="101"/>
      <c r="K106" s="101"/>
      <c r="L106" s="132"/>
      <c r="M106" s="132"/>
    </row>
    <row r="107" spans="1:16">
      <c r="A107" s="502"/>
      <c r="B107" s="184" t="s">
        <v>533</v>
      </c>
      <c r="C107" s="185">
        <f>K107/F107</f>
        <v>1.0908</v>
      </c>
      <c r="D107" s="186" t="s">
        <v>98</v>
      </c>
      <c r="E107" s="186">
        <v>12</v>
      </c>
      <c r="F107" s="187">
        <v>25</v>
      </c>
      <c r="G107" s="186" t="s">
        <v>5</v>
      </c>
      <c r="H107" s="186">
        <v>1200</v>
      </c>
      <c r="I107" s="186" t="s">
        <v>346</v>
      </c>
      <c r="J107" s="428">
        <f>J101</f>
        <v>29.45</v>
      </c>
      <c r="K107" s="428">
        <f>K101</f>
        <v>27.27</v>
      </c>
      <c r="L107" s="416">
        <v>45292</v>
      </c>
      <c r="M107" s="143"/>
      <c r="O107" s="78">
        <v>28.69</v>
      </c>
      <c r="P107" s="418">
        <v>27</v>
      </c>
    </row>
    <row r="108" spans="1:16">
      <c r="A108" s="502"/>
      <c r="B108" s="184" t="s">
        <v>534</v>
      </c>
      <c r="C108" s="185">
        <f>K108/F108</f>
        <v>1.1768000000000001</v>
      </c>
      <c r="D108" s="186" t="s">
        <v>98</v>
      </c>
      <c r="E108" s="186">
        <v>12</v>
      </c>
      <c r="F108" s="187">
        <v>25</v>
      </c>
      <c r="G108" s="186" t="s">
        <v>5</v>
      </c>
      <c r="H108" s="186">
        <v>1200</v>
      </c>
      <c r="I108" s="186" t="s">
        <v>346</v>
      </c>
      <c r="J108" s="428">
        <f t="shared" ref="J108:K110" si="8">J102</f>
        <v>31.78</v>
      </c>
      <c r="K108" s="428">
        <f t="shared" si="8"/>
        <v>29.42</v>
      </c>
      <c r="L108" s="416">
        <v>45292</v>
      </c>
      <c r="M108" s="143"/>
      <c r="O108" s="78">
        <v>30.88</v>
      </c>
      <c r="P108" s="418">
        <v>29.13</v>
      </c>
    </row>
    <row r="109" spans="1:16">
      <c r="A109" s="502"/>
      <c r="B109" s="184" t="s">
        <v>535</v>
      </c>
      <c r="C109" s="185">
        <f>K109/F109</f>
        <v>2.0232000000000001</v>
      </c>
      <c r="D109" s="186" t="s">
        <v>98</v>
      </c>
      <c r="E109" s="186">
        <v>10</v>
      </c>
      <c r="F109" s="187">
        <v>25</v>
      </c>
      <c r="G109" s="186" t="s">
        <v>5</v>
      </c>
      <c r="H109" s="186">
        <v>1200</v>
      </c>
      <c r="I109" s="186" t="s">
        <v>346</v>
      </c>
      <c r="J109" s="428">
        <f t="shared" si="8"/>
        <v>54.63</v>
      </c>
      <c r="K109" s="428">
        <f t="shared" si="8"/>
        <v>50.58</v>
      </c>
      <c r="L109" s="416">
        <v>45292</v>
      </c>
      <c r="M109" s="143"/>
      <c r="O109" s="78">
        <v>53.11</v>
      </c>
      <c r="P109" s="418">
        <v>50.08</v>
      </c>
    </row>
    <row r="110" spans="1:16">
      <c r="A110" s="502"/>
      <c r="B110" s="184" t="s">
        <v>536</v>
      </c>
      <c r="C110" s="185">
        <f>K110/F110</f>
        <v>5.7747999999999999</v>
      </c>
      <c r="D110" s="186" t="s">
        <v>98</v>
      </c>
      <c r="E110" s="186">
        <v>10</v>
      </c>
      <c r="F110" s="187">
        <v>25</v>
      </c>
      <c r="G110" s="186" t="s">
        <v>5</v>
      </c>
      <c r="H110" s="186">
        <v>600</v>
      </c>
      <c r="I110" s="186" t="s">
        <v>346</v>
      </c>
      <c r="J110" s="428">
        <f t="shared" si="8"/>
        <v>155.91999999999999</v>
      </c>
      <c r="K110" s="428">
        <f t="shared" si="8"/>
        <v>144.37</v>
      </c>
      <c r="L110" s="416">
        <v>45292</v>
      </c>
      <c r="M110" s="143"/>
      <c r="O110" s="78">
        <v>151.46</v>
      </c>
      <c r="P110" s="418">
        <v>142.94</v>
      </c>
    </row>
    <row r="111" spans="1:16">
      <c r="A111" s="77"/>
      <c r="B111" s="104"/>
      <c r="C111" s="78"/>
      <c r="D111" s="78"/>
      <c r="E111" s="78"/>
      <c r="F111" s="87"/>
      <c r="G111" s="78"/>
      <c r="J111" s="78"/>
      <c r="K111" s="78"/>
    </row>
    <row r="112" spans="1:16">
      <c r="A112" s="505" t="s">
        <v>291</v>
      </c>
      <c r="B112" s="188" t="s">
        <v>611</v>
      </c>
      <c r="C112" s="190">
        <f>K112/F112</f>
        <v>0.64749999999999996</v>
      </c>
      <c r="D112" s="190">
        <v>6</v>
      </c>
      <c r="E112" s="190">
        <v>5.5</v>
      </c>
      <c r="F112" s="191">
        <v>100</v>
      </c>
      <c r="G112" s="190" t="s">
        <v>8</v>
      </c>
      <c r="H112" s="190" t="s">
        <v>98</v>
      </c>
      <c r="I112" s="190" t="s">
        <v>351</v>
      </c>
      <c r="J112" s="429">
        <v>64.75</v>
      </c>
      <c r="K112" s="429">
        <f>J112</f>
        <v>64.75</v>
      </c>
      <c r="L112" s="416">
        <v>45292</v>
      </c>
      <c r="O112" s="78">
        <v>64.11</v>
      </c>
    </row>
    <row r="113" spans="1:15">
      <c r="A113" s="505"/>
      <c r="B113" s="188" t="s">
        <v>612</v>
      </c>
      <c r="C113" s="196">
        <f t="shared" ref="C113:C122" si="9">K113/F113</f>
        <v>0.68720000000000003</v>
      </c>
      <c r="D113" s="190">
        <v>6</v>
      </c>
      <c r="E113" s="190">
        <v>5.5</v>
      </c>
      <c r="F113" s="191">
        <v>100</v>
      </c>
      <c r="G113" s="190" t="s">
        <v>8</v>
      </c>
      <c r="H113" s="190" t="s">
        <v>98</v>
      </c>
      <c r="I113" s="190" t="s">
        <v>351</v>
      </c>
      <c r="J113" s="429">
        <v>68.72</v>
      </c>
      <c r="K113" s="429">
        <f t="shared" ref="K113:K122" si="10">J113</f>
        <v>68.72</v>
      </c>
      <c r="L113" s="416">
        <v>45292</v>
      </c>
      <c r="O113" s="78">
        <v>68.040000000000006</v>
      </c>
    </row>
    <row r="114" spans="1:15">
      <c r="A114" s="505"/>
      <c r="B114" s="188" t="s">
        <v>613</v>
      </c>
      <c r="C114" s="190">
        <f t="shared" si="9"/>
        <v>0.70489999999999997</v>
      </c>
      <c r="D114" s="190">
        <v>6</v>
      </c>
      <c r="E114" s="190">
        <v>5.5</v>
      </c>
      <c r="F114" s="191">
        <v>100</v>
      </c>
      <c r="G114" s="190" t="s">
        <v>8</v>
      </c>
      <c r="H114" s="190" t="s">
        <v>98</v>
      </c>
      <c r="I114" s="190" t="s">
        <v>351</v>
      </c>
      <c r="J114" s="429">
        <v>70.489999999999995</v>
      </c>
      <c r="K114" s="429">
        <f t="shared" si="10"/>
        <v>70.489999999999995</v>
      </c>
      <c r="L114" s="416">
        <v>45292</v>
      </c>
      <c r="O114" s="78">
        <v>69.790400000000005</v>
      </c>
    </row>
    <row r="115" spans="1:15">
      <c r="A115" s="505"/>
      <c r="B115" s="188" t="s">
        <v>614</v>
      </c>
      <c r="C115" s="190">
        <f>K115/F115</f>
        <v>0.75549999999999995</v>
      </c>
      <c r="D115" s="190">
        <v>6</v>
      </c>
      <c r="E115" s="190">
        <v>5.5</v>
      </c>
      <c r="F115" s="191">
        <v>100</v>
      </c>
      <c r="G115" s="190" t="s">
        <v>8</v>
      </c>
      <c r="H115" s="190" t="s">
        <v>98</v>
      </c>
      <c r="I115" s="190" t="s">
        <v>351</v>
      </c>
      <c r="J115" s="429">
        <v>75.55</v>
      </c>
      <c r="K115" s="429">
        <f t="shared" si="10"/>
        <v>75.55</v>
      </c>
      <c r="L115" s="416">
        <v>45292</v>
      </c>
      <c r="O115" s="78">
        <v>74.804199999999994</v>
      </c>
    </row>
    <row r="116" spans="1:15">
      <c r="A116" s="505"/>
      <c r="B116" s="188" t="s">
        <v>615</v>
      </c>
      <c r="C116" s="190">
        <f t="shared" si="9"/>
        <v>0.84670000000000001</v>
      </c>
      <c r="D116" s="190">
        <v>6</v>
      </c>
      <c r="E116" s="190">
        <v>5.5</v>
      </c>
      <c r="F116" s="191">
        <v>100</v>
      </c>
      <c r="G116" s="190" t="s">
        <v>8</v>
      </c>
      <c r="H116" s="190" t="s">
        <v>98</v>
      </c>
      <c r="I116" s="190" t="s">
        <v>351</v>
      </c>
      <c r="J116" s="429">
        <v>84.67</v>
      </c>
      <c r="K116" s="429">
        <f t="shared" si="10"/>
        <v>84.67</v>
      </c>
      <c r="L116" s="416">
        <v>45292</v>
      </c>
      <c r="O116" s="78">
        <v>83.835400000000007</v>
      </c>
    </row>
    <row r="117" spans="1:15">
      <c r="A117" s="505"/>
      <c r="B117" s="188" t="s">
        <v>616</v>
      </c>
      <c r="C117" s="190">
        <f t="shared" si="9"/>
        <v>0.98790000000000011</v>
      </c>
      <c r="D117" s="190">
        <v>6</v>
      </c>
      <c r="E117" s="190">
        <v>5.5</v>
      </c>
      <c r="F117" s="191">
        <v>100</v>
      </c>
      <c r="G117" s="190" t="s">
        <v>8</v>
      </c>
      <c r="H117" s="190" t="s">
        <v>98</v>
      </c>
      <c r="I117" s="190" t="s">
        <v>351</v>
      </c>
      <c r="J117" s="429">
        <v>98.79</v>
      </c>
      <c r="K117" s="429">
        <f t="shared" si="10"/>
        <v>98.79</v>
      </c>
      <c r="L117" s="416">
        <v>45292</v>
      </c>
      <c r="O117" s="78">
        <v>97.816800000000001</v>
      </c>
    </row>
    <row r="118" spans="1:15">
      <c r="A118" s="505"/>
      <c r="B118" s="188" t="s">
        <v>617</v>
      </c>
      <c r="C118" s="190">
        <f t="shared" si="9"/>
        <v>1.1573</v>
      </c>
      <c r="D118" s="190">
        <v>6</v>
      </c>
      <c r="E118" s="190">
        <v>5.5</v>
      </c>
      <c r="F118" s="191">
        <v>100</v>
      </c>
      <c r="G118" s="190" t="s">
        <v>8</v>
      </c>
      <c r="H118" s="190" t="s">
        <v>98</v>
      </c>
      <c r="I118" s="190" t="s">
        <v>351</v>
      </c>
      <c r="J118" s="429">
        <v>115.73</v>
      </c>
      <c r="K118" s="429">
        <f t="shared" si="10"/>
        <v>115.73</v>
      </c>
      <c r="L118" s="416">
        <v>45292</v>
      </c>
      <c r="O118" s="78">
        <v>114.586</v>
      </c>
    </row>
    <row r="119" spans="1:15">
      <c r="A119" s="505"/>
      <c r="B119" s="188" t="s">
        <v>618</v>
      </c>
      <c r="C119" s="190">
        <f t="shared" si="9"/>
        <v>1.3019999999999998</v>
      </c>
      <c r="D119" s="190">
        <v>6</v>
      </c>
      <c r="E119" s="190">
        <v>5.5</v>
      </c>
      <c r="F119" s="191">
        <v>100</v>
      </c>
      <c r="G119" s="190" t="s">
        <v>8</v>
      </c>
      <c r="H119" s="190" t="s">
        <v>98</v>
      </c>
      <c r="I119" s="190" t="s">
        <v>351</v>
      </c>
      <c r="J119" s="429">
        <v>130.19999999999999</v>
      </c>
      <c r="K119" s="429">
        <f t="shared" si="10"/>
        <v>130.19999999999999</v>
      </c>
      <c r="L119" s="416">
        <v>45292</v>
      </c>
      <c r="O119" s="78">
        <v>128.9066</v>
      </c>
    </row>
    <row r="120" spans="1:15">
      <c r="A120" s="505"/>
      <c r="B120" s="188" t="s">
        <v>619</v>
      </c>
      <c r="C120" s="190">
        <f t="shared" si="9"/>
        <v>1.9171</v>
      </c>
      <c r="D120" s="190">
        <v>6</v>
      </c>
      <c r="E120" s="190">
        <v>5.5</v>
      </c>
      <c r="F120" s="191">
        <v>100</v>
      </c>
      <c r="G120" s="190" t="s">
        <v>8</v>
      </c>
      <c r="H120" s="190" t="s">
        <v>98</v>
      </c>
      <c r="I120" s="190" t="s">
        <v>351</v>
      </c>
      <c r="J120" s="429">
        <v>191.71</v>
      </c>
      <c r="K120" s="429">
        <f t="shared" si="10"/>
        <v>191.71</v>
      </c>
      <c r="L120" s="416">
        <v>45292</v>
      </c>
      <c r="O120" s="78">
        <v>189.8142</v>
      </c>
    </row>
    <row r="121" spans="1:15">
      <c r="A121" s="505"/>
      <c r="B121" s="188" t="s">
        <v>620</v>
      </c>
      <c r="C121" s="190">
        <f t="shared" si="9"/>
        <v>2.141</v>
      </c>
      <c r="D121" s="190">
        <v>6</v>
      </c>
      <c r="E121" s="190">
        <v>5.5</v>
      </c>
      <c r="F121" s="191">
        <v>100</v>
      </c>
      <c r="G121" s="190" t="s">
        <v>8</v>
      </c>
      <c r="H121" s="190" t="s">
        <v>98</v>
      </c>
      <c r="I121" s="190" t="s">
        <v>351</v>
      </c>
      <c r="J121" s="429">
        <v>214.1</v>
      </c>
      <c r="K121" s="429">
        <f t="shared" si="10"/>
        <v>214.1</v>
      </c>
      <c r="L121" s="416">
        <v>45292</v>
      </c>
      <c r="O121" s="78">
        <v>211.97880000000001</v>
      </c>
    </row>
    <row r="122" spans="1:15">
      <c r="A122" s="505"/>
      <c r="B122" s="188" t="s">
        <v>621</v>
      </c>
      <c r="C122" s="190">
        <f t="shared" si="9"/>
        <v>2.3868</v>
      </c>
      <c r="D122" s="190">
        <v>6</v>
      </c>
      <c r="E122" s="190">
        <v>5.5</v>
      </c>
      <c r="F122" s="191">
        <v>100</v>
      </c>
      <c r="G122" s="190" t="s">
        <v>8</v>
      </c>
      <c r="H122" s="190" t="s">
        <v>98</v>
      </c>
      <c r="I122" s="190" t="s">
        <v>351</v>
      </c>
      <c r="J122" s="429">
        <v>238.68</v>
      </c>
      <c r="K122" s="429">
        <f t="shared" si="10"/>
        <v>238.68</v>
      </c>
      <c r="L122" s="416">
        <v>45292</v>
      </c>
      <c r="O122" s="78">
        <v>236.31640000000002</v>
      </c>
    </row>
    <row r="123" spans="1:15">
      <c r="A123" s="505"/>
      <c r="B123" s="108" t="s">
        <v>98</v>
      </c>
      <c r="C123" s="69"/>
      <c r="D123" s="69"/>
      <c r="E123" s="69"/>
      <c r="F123" s="90"/>
      <c r="G123" s="69"/>
      <c r="H123" s="69"/>
      <c r="I123" s="69"/>
      <c r="J123" s="69"/>
      <c r="K123" s="69"/>
    </row>
    <row r="124" spans="1:15">
      <c r="A124" s="505"/>
      <c r="B124" s="188" t="s">
        <v>622</v>
      </c>
      <c r="C124" s="190">
        <f>K124/F124</f>
        <v>0.94489999999999996</v>
      </c>
      <c r="D124" s="190">
        <v>6</v>
      </c>
      <c r="E124" s="190">
        <v>5.5</v>
      </c>
      <c r="F124" s="191">
        <v>100</v>
      </c>
      <c r="G124" s="190" t="s">
        <v>8</v>
      </c>
      <c r="H124" s="190" t="s">
        <v>98</v>
      </c>
      <c r="I124" s="190" t="s">
        <v>351</v>
      </c>
      <c r="J124" s="429">
        <v>94.49</v>
      </c>
      <c r="K124" s="429">
        <f>J124</f>
        <v>94.49</v>
      </c>
      <c r="L124" s="416">
        <v>45292</v>
      </c>
      <c r="O124" s="78">
        <v>93.555600000000013</v>
      </c>
    </row>
    <row r="125" spans="1:15">
      <c r="A125" s="505"/>
      <c r="B125" s="188" t="s">
        <v>623</v>
      </c>
      <c r="C125" s="190">
        <f>K125/F125</f>
        <v>1.0849</v>
      </c>
      <c r="D125" s="190">
        <v>6</v>
      </c>
      <c r="E125" s="190">
        <v>5.5</v>
      </c>
      <c r="F125" s="191">
        <v>100</v>
      </c>
      <c r="G125" s="190" t="s">
        <v>8</v>
      </c>
      <c r="H125" s="190" t="s">
        <v>98</v>
      </c>
      <c r="I125" s="190" t="s">
        <v>351</v>
      </c>
      <c r="J125" s="429">
        <v>108.49</v>
      </c>
      <c r="K125" s="429">
        <f t="shared" ref="K125:K128" si="11">J125</f>
        <v>108.49</v>
      </c>
      <c r="L125" s="416">
        <v>45292</v>
      </c>
      <c r="O125" s="78">
        <v>107.42040000000001</v>
      </c>
    </row>
    <row r="126" spans="1:15">
      <c r="A126" s="505"/>
      <c r="B126" s="188" t="s">
        <v>624</v>
      </c>
      <c r="C126" s="190">
        <f>K126/F126</f>
        <v>1.3221000000000001</v>
      </c>
      <c r="D126" s="190">
        <v>6</v>
      </c>
      <c r="E126" s="190">
        <v>5.5</v>
      </c>
      <c r="F126" s="191">
        <v>100</v>
      </c>
      <c r="G126" s="190" t="s">
        <v>8</v>
      </c>
      <c r="H126" s="190" t="s">
        <v>98</v>
      </c>
      <c r="I126" s="190" t="s">
        <v>351</v>
      </c>
      <c r="J126" s="429">
        <v>132.21</v>
      </c>
      <c r="K126" s="429">
        <f t="shared" si="11"/>
        <v>132.21</v>
      </c>
      <c r="L126" s="416">
        <v>45292</v>
      </c>
      <c r="O126" s="78">
        <v>130.89940000000001</v>
      </c>
    </row>
    <row r="127" spans="1:15">
      <c r="A127" s="505"/>
      <c r="B127" s="188" t="s">
        <v>625</v>
      </c>
      <c r="C127" s="190">
        <f>K127/F127</f>
        <v>1.5104</v>
      </c>
      <c r="D127" s="190">
        <v>6</v>
      </c>
      <c r="E127" s="190">
        <v>5.5</v>
      </c>
      <c r="F127" s="191">
        <v>100</v>
      </c>
      <c r="G127" s="190" t="s">
        <v>8</v>
      </c>
      <c r="H127" s="190" t="s">
        <v>98</v>
      </c>
      <c r="I127" s="190" t="s">
        <v>351</v>
      </c>
      <c r="J127" s="429">
        <v>151.04</v>
      </c>
      <c r="K127" s="429">
        <f t="shared" si="11"/>
        <v>151.04</v>
      </c>
      <c r="L127" s="416">
        <v>45292</v>
      </c>
      <c r="O127" s="78">
        <v>149.54480000000001</v>
      </c>
    </row>
    <row r="128" spans="1:15">
      <c r="A128" s="505"/>
      <c r="B128" s="188" t="s">
        <v>626</v>
      </c>
      <c r="C128" s="190">
        <f>K128/F128</f>
        <v>1.8263999999999998</v>
      </c>
      <c r="D128" s="190">
        <v>6</v>
      </c>
      <c r="E128" s="190">
        <v>5.5</v>
      </c>
      <c r="F128" s="191">
        <v>100</v>
      </c>
      <c r="G128" s="190" t="s">
        <v>8</v>
      </c>
      <c r="H128" s="190" t="s">
        <v>98</v>
      </c>
      <c r="I128" s="190" t="s">
        <v>351</v>
      </c>
      <c r="J128" s="429">
        <v>182.64</v>
      </c>
      <c r="K128" s="429">
        <f t="shared" si="11"/>
        <v>182.64</v>
      </c>
      <c r="L128" s="416">
        <v>45292</v>
      </c>
      <c r="O128" s="78">
        <v>180.83600000000001</v>
      </c>
    </row>
    <row r="129" spans="1:15">
      <c r="A129" s="505"/>
      <c r="B129" s="108" t="s">
        <v>98</v>
      </c>
      <c r="C129" s="69"/>
      <c r="D129" s="69"/>
      <c r="E129" s="69"/>
      <c r="F129" s="90"/>
      <c r="G129" s="69"/>
      <c r="H129" s="69"/>
      <c r="I129" s="69"/>
      <c r="J129" s="69"/>
      <c r="K129" s="69"/>
    </row>
    <row r="130" spans="1:15">
      <c r="A130" s="505"/>
      <c r="B130" s="188" t="s">
        <v>627</v>
      </c>
      <c r="C130" s="196">
        <f t="shared" ref="C130:C136" si="12">K130/F130</f>
        <v>0.89060000000000006</v>
      </c>
      <c r="D130" s="190">
        <v>6</v>
      </c>
      <c r="E130" s="190">
        <v>5.5</v>
      </c>
      <c r="F130" s="191">
        <v>100</v>
      </c>
      <c r="G130" s="190" t="s">
        <v>8</v>
      </c>
      <c r="H130" s="190" t="s">
        <v>98</v>
      </c>
      <c r="I130" s="190" t="s">
        <v>351</v>
      </c>
      <c r="J130" s="429">
        <v>89.06</v>
      </c>
      <c r="K130" s="429">
        <f>J130</f>
        <v>89.06</v>
      </c>
      <c r="L130" s="416">
        <v>45292</v>
      </c>
      <c r="O130" s="78">
        <v>88.181399999999996</v>
      </c>
    </row>
    <row r="131" spans="1:15">
      <c r="A131" s="505"/>
      <c r="B131" s="188" t="s">
        <v>628</v>
      </c>
      <c r="C131" s="196">
        <f t="shared" si="12"/>
        <v>0.99590000000000001</v>
      </c>
      <c r="D131" s="190">
        <v>6</v>
      </c>
      <c r="E131" s="190">
        <v>5.5</v>
      </c>
      <c r="F131" s="191">
        <v>100</v>
      </c>
      <c r="G131" s="190" t="s">
        <v>8</v>
      </c>
      <c r="H131" s="190" t="s">
        <v>98</v>
      </c>
      <c r="I131" s="190" t="s">
        <v>351</v>
      </c>
      <c r="J131" s="429">
        <v>99.59</v>
      </c>
      <c r="K131" s="429">
        <f t="shared" ref="K131:K136" si="13">J131</f>
        <v>99.59</v>
      </c>
      <c r="L131" s="416">
        <v>45292</v>
      </c>
      <c r="O131" s="78">
        <v>98.601200000000006</v>
      </c>
    </row>
    <row r="132" spans="1:15">
      <c r="A132" s="505"/>
      <c r="B132" s="188" t="s">
        <v>629</v>
      </c>
      <c r="C132" s="196">
        <f t="shared" si="12"/>
        <v>1.1152</v>
      </c>
      <c r="D132" s="190">
        <v>6</v>
      </c>
      <c r="E132" s="190">
        <v>5.5</v>
      </c>
      <c r="F132" s="191">
        <v>100</v>
      </c>
      <c r="G132" s="190" t="s">
        <v>8</v>
      </c>
      <c r="H132" s="190" t="s">
        <v>98</v>
      </c>
      <c r="I132" s="190" t="s">
        <v>351</v>
      </c>
      <c r="J132" s="429">
        <v>111.52</v>
      </c>
      <c r="K132" s="429">
        <f t="shared" si="13"/>
        <v>111.52</v>
      </c>
      <c r="L132" s="416">
        <v>45292</v>
      </c>
      <c r="O132" s="78">
        <v>110.42020000000001</v>
      </c>
    </row>
    <row r="133" spans="1:15">
      <c r="A133" s="505"/>
      <c r="B133" s="188" t="s">
        <v>630</v>
      </c>
      <c r="C133" s="196">
        <f t="shared" si="12"/>
        <v>1.2707999999999999</v>
      </c>
      <c r="D133" s="190">
        <v>6</v>
      </c>
      <c r="E133" s="190">
        <v>5.5</v>
      </c>
      <c r="F133" s="191">
        <v>100</v>
      </c>
      <c r="G133" s="190" t="s">
        <v>8</v>
      </c>
      <c r="H133" s="190" t="s">
        <v>98</v>
      </c>
      <c r="I133" s="190" t="s">
        <v>351</v>
      </c>
      <c r="J133" s="429">
        <v>127.08</v>
      </c>
      <c r="K133" s="429">
        <f t="shared" si="13"/>
        <v>127.08</v>
      </c>
      <c r="L133" s="416">
        <v>45292</v>
      </c>
      <c r="O133" s="78">
        <v>125.822</v>
      </c>
    </row>
    <row r="134" spans="1:15">
      <c r="A134" s="505"/>
      <c r="B134" s="188" t="s">
        <v>631</v>
      </c>
      <c r="C134" s="196">
        <f t="shared" si="12"/>
        <v>1.4942</v>
      </c>
      <c r="D134" s="190">
        <v>6</v>
      </c>
      <c r="E134" s="190">
        <v>5.5</v>
      </c>
      <c r="F134" s="191">
        <v>100</v>
      </c>
      <c r="G134" s="190" t="s">
        <v>8</v>
      </c>
      <c r="H134" s="190" t="s">
        <v>98</v>
      </c>
      <c r="I134" s="190" t="s">
        <v>351</v>
      </c>
      <c r="J134" s="429">
        <v>149.41999999999999</v>
      </c>
      <c r="K134" s="429">
        <f t="shared" si="13"/>
        <v>149.41999999999999</v>
      </c>
      <c r="L134" s="416">
        <v>45292</v>
      </c>
      <c r="O134" s="78">
        <v>147.9442</v>
      </c>
    </row>
    <row r="135" spans="1:15">
      <c r="A135" s="505"/>
      <c r="B135" s="188" t="s">
        <v>632</v>
      </c>
      <c r="C135" s="196">
        <f t="shared" si="12"/>
        <v>1.6440000000000001</v>
      </c>
      <c r="D135" s="190">
        <v>6</v>
      </c>
      <c r="E135" s="190">
        <v>5.5</v>
      </c>
      <c r="F135" s="191">
        <v>100</v>
      </c>
      <c r="G135" s="190" t="s">
        <v>8</v>
      </c>
      <c r="H135" s="190" t="s">
        <v>98</v>
      </c>
      <c r="I135" s="190" t="s">
        <v>351</v>
      </c>
      <c r="J135" s="429">
        <v>164.4</v>
      </c>
      <c r="K135" s="429">
        <f t="shared" si="13"/>
        <v>164.4</v>
      </c>
      <c r="L135" s="416">
        <v>45292</v>
      </c>
      <c r="O135" s="78">
        <v>162.77360000000002</v>
      </c>
    </row>
    <row r="136" spans="1:15">
      <c r="A136" s="505"/>
      <c r="B136" s="188" t="s">
        <v>633</v>
      </c>
      <c r="C136" s="196">
        <f t="shared" si="12"/>
        <v>1.7890000000000001</v>
      </c>
      <c r="D136" s="190">
        <v>6</v>
      </c>
      <c r="E136" s="190">
        <v>5.5</v>
      </c>
      <c r="F136" s="191">
        <v>100</v>
      </c>
      <c r="G136" s="190" t="s">
        <v>8</v>
      </c>
      <c r="H136" s="190" t="s">
        <v>98</v>
      </c>
      <c r="I136" s="190" t="s">
        <v>351</v>
      </c>
      <c r="J136" s="429">
        <v>178.9</v>
      </c>
      <c r="K136" s="429">
        <f t="shared" si="13"/>
        <v>178.9</v>
      </c>
      <c r="L136" s="416">
        <v>45292</v>
      </c>
      <c r="O136" s="78">
        <v>177.126</v>
      </c>
    </row>
    <row r="137" spans="1:15">
      <c r="A137" s="505"/>
      <c r="B137" s="108" t="s">
        <v>98</v>
      </c>
      <c r="C137" s="69"/>
      <c r="D137" s="69"/>
      <c r="E137" s="69"/>
      <c r="F137" s="90"/>
      <c r="G137" s="69"/>
      <c r="H137" s="69"/>
      <c r="I137" s="69"/>
      <c r="J137" s="69"/>
      <c r="K137" s="69"/>
    </row>
    <row r="138" spans="1:15">
      <c r="A138" s="505"/>
      <c r="B138" s="188" t="s">
        <v>634</v>
      </c>
      <c r="C138" s="196">
        <f>K138/F138</f>
        <v>0.42755000000000004</v>
      </c>
      <c r="D138" s="190">
        <v>6</v>
      </c>
      <c r="E138" s="190">
        <v>5.5</v>
      </c>
      <c r="F138" s="191">
        <v>200</v>
      </c>
      <c r="G138" s="190" t="s">
        <v>8</v>
      </c>
      <c r="H138" s="190" t="s">
        <v>98</v>
      </c>
      <c r="I138" s="190" t="s">
        <v>351</v>
      </c>
      <c r="J138" s="429">
        <v>85.51</v>
      </c>
      <c r="K138" s="429">
        <f>J138</f>
        <v>85.51</v>
      </c>
      <c r="L138" s="416">
        <v>45292</v>
      </c>
      <c r="O138" s="78">
        <v>84.662200000000013</v>
      </c>
    </row>
    <row r="139" spans="1:15">
      <c r="A139" s="505"/>
      <c r="B139" s="188" t="s">
        <v>635</v>
      </c>
      <c r="C139" s="196">
        <f t="shared" ref="C139:C146" si="14">K139/F139</f>
        <v>0.43045</v>
      </c>
      <c r="D139" s="190">
        <v>6</v>
      </c>
      <c r="E139" s="190">
        <v>5.5</v>
      </c>
      <c r="F139" s="191">
        <v>200</v>
      </c>
      <c r="G139" s="190" t="s">
        <v>8</v>
      </c>
      <c r="H139" s="190" t="s">
        <v>98</v>
      </c>
      <c r="I139" s="190" t="s">
        <v>351</v>
      </c>
      <c r="J139" s="429">
        <v>86.09</v>
      </c>
      <c r="K139" s="429">
        <f t="shared" ref="K139:K146" si="15">J139</f>
        <v>86.09</v>
      </c>
      <c r="L139" s="416">
        <v>45292</v>
      </c>
      <c r="O139" s="78">
        <v>85.2346</v>
      </c>
    </row>
    <row r="140" spans="1:15">
      <c r="A140" s="505"/>
      <c r="B140" s="188" t="s">
        <v>636</v>
      </c>
      <c r="C140" s="196">
        <f t="shared" si="14"/>
        <v>0.4506</v>
      </c>
      <c r="D140" s="190">
        <v>6</v>
      </c>
      <c r="E140" s="190">
        <v>5.5</v>
      </c>
      <c r="F140" s="191">
        <v>200</v>
      </c>
      <c r="G140" s="190" t="s">
        <v>8</v>
      </c>
      <c r="H140" s="190" t="s">
        <v>98</v>
      </c>
      <c r="I140" s="190" t="s">
        <v>351</v>
      </c>
      <c r="J140" s="429">
        <v>90.12</v>
      </c>
      <c r="K140" s="429">
        <f t="shared" si="15"/>
        <v>90.12</v>
      </c>
      <c r="L140" s="416">
        <v>45292</v>
      </c>
      <c r="O140" s="78">
        <v>89.230800000000016</v>
      </c>
    </row>
    <row r="141" spans="1:15">
      <c r="A141" s="505"/>
      <c r="B141" s="188" t="s">
        <v>637</v>
      </c>
      <c r="C141" s="196">
        <f t="shared" si="14"/>
        <v>0.47635</v>
      </c>
      <c r="D141" s="190">
        <v>6</v>
      </c>
      <c r="E141" s="190">
        <v>5.5</v>
      </c>
      <c r="F141" s="191">
        <v>200</v>
      </c>
      <c r="G141" s="190" t="s">
        <v>8</v>
      </c>
      <c r="H141" s="190" t="s">
        <v>98</v>
      </c>
      <c r="I141" s="190" t="s">
        <v>351</v>
      </c>
      <c r="J141" s="429">
        <v>95.27</v>
      </c>
      <c r="K141" s="429">
        <f t="shared" si="15"/>
        <v>95.27</v>
      </c>
      <c r="L141" s="416">
        <v>45292</v>
      </c>
      <c r="O141" s="78">
        <v>94.329399999999993</v>
      </c>
    </row>
    <row r="142" spans="1:15">
      <c r="A142" s="505"/>
      <c r="B142" s="188" t="s">
        <v>638</v>
      </c>
      <c r="C142" s="196">
        <f t="shared" si="14"/>
        <v>0.49975000000000003</v>
      </c>
      <c r="D142" s="190">
        <v>6</v>
      </c>
      <c r="E142" s="190">
        <v>5.5</v>
      </c>
      <c r="F142" s="191">
        <v>200</v>
      </c>
      <c r="G142" s="190" t="s">
        <v>8</v>
      </c>
      <c r="H142" s="190" t="s">
        <v>98</v>
      </c>
      <c r="I142" s="190" t="s">
        <v>351</v>
      </c>
      <c r="J142" s="429">
        <v>99.95</v>
      </c>
      <c r="K142" s="429">
        <f t="shared" si="15"/>
        <v>99.95</v>
      </c>
      <c r="L142" s="416">
        <v>45292</v>
      </c>
      <c r="O142" s="78">
        <v>98.961600000000004</v>
      </c>
    </row>
    <row r="143" spans="1:15">
      <c r="A143" s="505"/>
      <c r="B143" s="188" t="s">
        <v>639</v>
      </c>
      <c r="C143" s="196">
        <f t="shared" si="14"/>
        <v>0.55100000000000005</v>
      </c>
      <c r="D143" s="190">
        <v>6</v>
      </c>
      <c r="E143" s="190">
        <v>5.5</v>
      </c>
      <c r="F143" s="191">
        <v>100</v>
      </c>
      <c r="G143" s="190" t="s">
        <v>8</v>
      </c>
      <c r="H143" s="190" t="s">
        <v>98</v>
      </c>
      <c r="I143" s="190" t="s">
        <v>351</v>
      </c>
      <c r="J143" s="429">
        <v>55.1</v>
      </c>
      <c r="K143" s="429">
        <f t="shared" si="15"/>
        <v>55.1</v>
      </c>
      <c r="L143" s="416">
        <v>45292</v>
      </c>
      <c r="O143" s="78">
        <v>54.558199999999999</v>
      </c>
    </row>
    <row r="144" spans="1:15">
      <c r="A144" s="505"/>
      <c r="B144" s="188" t="s">
        <v>640</v>
      </c>
      <c r="C144" s="196">
        <f t="shared" si="14"/>
        <v>0.66900000000000004</v>
      </c>
      <c r="D144" s="190">
        <v>6</v>
      </c>
      <c r="E144" s="190">
        <v>5.5</v>
      </c>
      <c r="F144" s="191">
        <v>100</v>
      </c>
      <c r="G144" s="190" t="s">
        <v>8</v>
      </c>
      <c r="H144" s="190" t="s">
        <v>98</v>
      </c>
      <c r="I144" s="190" t="s">
        <v>351</v>
      </c>
      <c r="J144" s="429">
        <v>66.900000000000006</v>
      </c>
      <c r="K144" s="429">
        <f t="shared" si="15"/>
        <v>66.900000000000006</v>
      </c>
      <c r="L144" s="416">
        <v>45292</v>
      </c>
      <c r="O144" s="78">
        <v>66.239400000000003</v>
      </c>
    </row>
    <row r="145" spans="1:15">
      <c r="A145" s="505"/>
      <c r="B145" s="188" t="s">
        <v>641</v>
      </c>
      <c r="C145" s="196">
        <f t="shared" si="14"/>
        <v>0.82980000000000009</v>
      </c>
      <c r="D145" s="190">
        <v>6</v>
      </c>
      <c r="E145" s="190">
        <v>5.5</v>
      </c>
      <c r="F145" s="191">
        <v>100</v>
      </c>
      <c r="G145" s="190" t="s">
        <v>8</v>
      </c>
      <c r="H145" s="190" t="s">
        <v>98</v>
      </c>
      <c r="I145" s="190" t="s">
        <v>351</v>
      </c>
      <c r="J145" s="429">
        <v>82.98</v>
      </c>
      <c r="K145" s="429">
        <f t="shared" si="15"/>
        <v>82.98</v>
      </c>
      <c r="L145" s="416">
        <v>45292</v>
      </c>
      <c r="O145" s="78">
        <v>82.160600000000017</v>
      </c>
    </row>
    <row r="146" spans="1:15">
      <c r="A146" s="505"/>
      <c r="B146" s="188" t="s">
        <v>642</v>
      </c>
      <c r="C146" s="196">
        <f t="shared" si="14"/>
        <v>1.0194000000000001</v>
      </c>
      <c r="D146" s="190">
        <v>6</v>
      </c>
      <c r="E146" s="190">
        <v>5.5</v>
      </c>
      <c r="F146" s="191">
        <v>100</v>
      </c>
      <c r="G146" s="190" t="s">
        <v>8</v>
      </c>
      <c r="H146" s="190" t="s">
        <v>98</v>
      </c>
      <c r="I146" s="190" t="s">
        <v>351</v>
      </c>
      <c r="J146" s="429">
        <v>101.94</v>
      </c>
      <c r="K146" s="429">
        <f t="shared" si="15"/>
        <v>101.94</v>
      </c>
      <c r="L146" s="416">
        <v>45292</v>
      </c>
      <c r="O146" s="78">
        <v>100.9332</v>
      </c>
    </row>
    <row r="147" spans="1:15">
      <c r="A147" s="505"/>
      <c r="B147" s="108" t="s">
        <v>98</v>
      </c>
      <c r="C147" s="69"/>
      <c r="D147" s="69"/>
      <c r="E147" s="69"/>
      <c r="F147" s="90"/>
      <c r="G147" s="69"/>
      <c r="H147" s="69"/>
      <c r="I147" s="69"/>
      <c r="J147" s="69"/>
      <c r="K147" s="69"/>
    </row>
    <row r="148" spans="1:15">
      <c r="A148" s="505"/>
      <c r="B148" s="108" t="s">
        <v>98</v>
      </c>
      <c r="C148" s="114"/>
      <c r="D148" s="69"/>
      <c r="E148" s="69"/>
      <c r="F148" s="112"/>
      <c r="G148" s="111"/>
      <c r="H148" s="69"/>
      <c r="I148" s="111"/>
      <c r="J148" s="113"/>
      <c r="K148" s="113"/>
    </row>
    <row r="149" spans="1:15">
      <c r="A149" s="505"/>
      <c r="B149" s="149" t="s">
        <v>193</v>
      </c>
      <c r="C149" s="150">
        <f t="shared" ref="C149:C153" si="16">K149/F149</f>
        <v>0.80449999999999999</v>
      </c>
      <c r="D149" s="150">
        <v>1</v>
      </c>
      <c r="E149" s="150">
        <v>1</v>
      </c>
      <c r="F149" s="151">
        <v>100</v>
      </c>
      <c r="G149" s="150" t="s">
        <v>8</v>
      </c>
      <c r="H149" s="150" t="s">
        <v>98</v>
      </c>
      <c r="I149" s="150" t="s">
        <v>351</v>
      </c>
      <c r="J149" s="152">
        <v>80.45</v>
      </c>
      <c r="K149" s="152">
        <v>80.45</v>
      </c>
      <c r="L149" s="75" t="s">
        <v>460</v>
      </c>
    </row>
    <row r="150" spans="1:15">
      <c r="A150" s="505"/>
      <c r="B150" s="149" t="s">
        <v>194</v>
      </c>
      <c r="C150" s="150">
        <f t="shared" si="16"/>
        <v>0.92359999999999998</v>
      </c>
      <c r="D150" s="150">
        <v>1</v>
      </c>
      <c r="E150" s="150">
        <v>1</v>
      </c>
      <c r="F150" s="151">
        <v>100</v>
      </c>
      <c r="G150" s="150" t="s">
        <v>8</v>
      </c>
      <c r="H150" s="150" t="s">
        <v>98</v>
      </c>
      <c r="I150" s="150" t="s">
        <v>351</v>
      </c>
      <c r="J150" s="152">
        <v>92.36</v>
      </c>
      <c r="K150" s="152">
        <v>92.36</v>
      </c>
      <c r="L150" s="75" t="s">
        <v>460</v>
      </c>
    </row>
    <row r="151" spans="1:15">
      <c r="A151" s="505"/>
      <c r="B151" s="149" t="s">
        <v>195</v>
      </c>
      <c r="C151" s="150">
        <f t="shared" si="16"/>
        <v>1.1254999999999999</v>
      </c>
      <c r="D151" s="150">
        <v>1</v>
      </c>
      <c r="E151" s="150">
        <v>1</v>
      </c>
      <c r="F151" s="151">
        <v>100</v>
      </c>
      <c r="G151" s="150" t="s">
        <v>8</v>
      </c>
      <c r="H151" s="150" t="s">
        <v>98</v>
      </c>
      <c r="I151" s="150" t="s">
        <v>351</v>
      </c>
      <c r="J151" s="152">
        <v>112.55</v>
      </c>
      <c r="K151" s="152">
        <v>112.55</v>
      </c>
      <c r="L151" s="75" t="s">
        <v>460</v>
      </c>
    </row>
    <row r="152" spans="1:15">
      <c r="A152" s="505"/>
      <c r="B152" s="149" t="s">
        <v>196</v>
      </c>
      <c r="C152" s="150">
        <f t="shared" si="16"/>
        <v>1.2858000000000001</v>
      </c>
      <c r="D152" s="150">
        <v>1</v>
      </c>
      <c r="E152" s="150">
        <v>1</v>
      </c>
      <c r="F152" s="151">
        <v>100</v>
      </c>
      <c r="G152" s="150" t="s">
        <v>8</v>
      </c>
      <c r="H152" s="150" t="s">
        <v>98</v>
      </c>
      <c r="I152" s="150" t="s">
        <v>351</v>
      </c>
      <c r="J152" s="152">
        <v>128.58000000000001</v>
      </c>
      <c r="K152" s="152">
        <v>128.58000000000001</v>
      </c>
      <c r="L152" s="75" t="s">
        <v>460</v>
      </c>
    </row>
    <row r="153" spans="1:15">
      <c r="A153" s="505"/>
      <c r="B153" s="149" t="s">
        <v>197</v>
      </c>
      <c r="C153" s="150">
        <f t="shared" si="16"/>
        <v>1.5549000000000002</v>
      </c>
      <c r="D153" s="150">
        <v>1</v>
      </c>
      <c r="E153" s="150">
        <v>1</v>
      </c>
      <c r="F153" s="151">
        <v>100</v>
      </c>
      <c r="G153" s="150" t="s">
        <v>8</v>
      </c>
      <c r="H153" s="150" t="s">
        <v>98</v>
      </c>
      <c r="I153" s="150" t="s">
        <v>351</v>
      </c>
      <c r="J153" s="152">
        <v>155.49</v>
      </c>
      <c r="K153" s="152">
        <v>155.49</v>
      </c>
      <c r="L153" s="75" t="s">
        <v>460</v>
      </c>
    </row>
    <row r="154" spans="1:15">
      <c r="A154" s="509" t="s">
        <v>292</v>
      </c>
      <c r="B154" s="118" t="s">
        <v>98</v>
      </c>
      <c r="C154" s="115"/>
      <c r="D154" s="116"/>
      <c r="E154" s="116"/>
      <c r="F154" s="117"/>
      <c r="G154" s="116"/>
      <c r="H154" s="116"/>
      <c r="I154" s="116"/>
      <c r="J154" s="115"/>
      <c r="K154" s="115"/>
    </row>
    <row r="155" spans="1:15" ht="16.5">
      <c r="A155" s="509"/>
      <c r="B155" s="197" t="s">
        <v>952</v>
      </c>
      <c r="C155" s="198">
        <f>K155/F155</f>
        <v>2.7578181818181817</v>
      </c>
      <c r="D155" s="199">
        <v>1.1000000000000001</v>
      </c>
      <c r="E155" s="199"/>
      <c r="F155" s="200">
        <v>55</v>
      </c>
      <c r="G155" s="199" t="s">
        <v>646</v>
      </c>
      <c r="H155" s="199">
        <v>20</v>
      </c>
      <c r="I155" s="199" t="s">
        <v>352</v>
      </c>
      <c r="J155" s="430">
        <v>151.68</v>
      </c>
      <c r="K155" s="430">
        <f>J155</f>
        <v>151.68</v>
      </c>
      <c r="L155" s="416">
        <v>45292</v>
      </c>
      <c r="O155" s="78">
        <v>150.16999999999999</v>
      </c>
    </row>
    <row r="156" spans="1:15" ht="16.5">
      <c r="A156" s="509"/>
      <c r="B156" s="197" t="s">
        <v>643</v>
      </c>
      <c r="C156" s="198">
        <f>K156/F156</f>
        <v>2.3676363636363638</v>
      </c>
      <c r="D156" s="199">
        <v>1.1000000000000001</v>
      </c>
      <c r="E156" s="199"/>
      <c r="F156" s="200">
        <v>55</v>
      </c>
      <c r="G156" s="199" t="s">
        <v>646</v>
      </c>
      <c r="H156" s="199">
        <v>33</v>
      </c>
      <c r="I156" s="199" t="s">
        <v>352</v>
      </c>
      <c r="J156" s="430">
        <v>130.22</v>
      </c>
      <c r="K156" s="430">
        <f t="shared" ref="K156:K161" si="17">J156</f>
        <v>130.22</v>
      </c>
      <c r="L156" s="416">
        <v>45292</v>
      </c>
      <c r="O156" s="78">
        <v>128.93</v>
      </c>
    </row>
    <row r="157" spans="1:15" ht="16.5">
      <c r="A157" s="509"/>
      <c r="B157" s="197" t="s">
        <v>953</v>
      </c>
      <c r="C157" s="198">
        <f>K157/F157</f>
        <v>6.2835999999999999</v>
      </c>
      <c r="D157" s="199">
        <v>1.1000000000000001</v>
      </c>
      <c r="E157" s="199"/>
      <c r="F157" s="200">
        <v>25</v>
      </c>
      <c r="G157" s="199" t="s">
        <v>646</v>
      </c>
      <c r="H157" s="199">
        <v>30</v>
      </c>
      <c r="I157" s="199" t="s">
        <v>352</v>
      </c>
      <c r="J157" s="430">
        <v>157.09</v>
      </c>
      <c r="K157" s="430">
        <f t="shared" si="17"/>
        <v>157.09</v>
      </c>
      <c r="L157" s="416">
        <v>45292</v>
      </c>
      <c r="O157" s="78">
        <v>155.53</v>
      </c>
    </row>
    <row r="158" spans="1:15">
      <c r="A158" s="509"/>
      <c r="B158" s="197" t="s">
        <v>98</v>
      </c>
      <c r="C158" s="198"/>
      <c r="D158" s="199"/>
      <c r="E158" s="199"/>
      <c r="F158" s="200"/>
      <c r="G158" s="199"/>
      <c r="H158" s="199"/>
      <c r="I158" s="199"/>
      <c r="J158" s="201"/>
      <c r="K158" s="201"/>
      <c r="L158" s="160"/>
    </row>
    <row r="159" spans="1:15" ht="16.5">
      <c r="A159" s="509"/>
      <c r="B159" s="197" t="s">
        <v>644</v>
      </c>
      <c r="C159" s="198">
        <f>K159/F159</f>
        <v>2.3676363636363638</v>
      </c>
      <c r="D159" s="199">
        <v>2.2000000000000002</v>
      </c>
      <c r="E159" s="199"/>
      <c r="F159" s="200">
        <v>55</v>
      </c>
      <c r="G159" s="199" t="s">
        <v>646</v>
      </c>
      <c r="H159" s="199">
        <v>33</v>
      </c>
      <c r="I159" s="199" t="s">
        <v>352</v>
      </c>
      <c r="J159" s="430">
        <f>J156</f>
        <v>130.22</v>
      </c>
      <c r="K159" s="430">
        <f t="shared" si="17"/>
        <v>130.22</v>
      </c>
      <c r="L159" s="416">
        <v>45292</v>
      </c>
      <c r="O159" s="78">
        <v>128.93</v>
      </c>
    </row>
    <row r="160" spans="1:15">
      <c r="A160" s="509"/>
      <c r="B160" s="197" t="s">
        <v>98</v>
      </c>
      <c r="C160" s="198"/>
      <c r="D160" s="199"/>
      <c r="E160" s="199"/>
      <c r="F160" s="200"/>
      <c r="G160" s="199"/>
      <c r="H160" s="199"/>
      <c r="I160" s="199"/>
      <c r="J160" s="201"/>
      <c r="K160" s="201"/>
      <c r="L160" s="202"/>
    </row>
    <row r="161" spans="1:16" ht="16.5">
      <c r="A161" s="509"/>
      <c r="B161" s="197" t="s">
        <v>645</v>
      </c>
      <c r="C161" s="198">
        <f>K161/F161</f>
        <v>6.0882000000000005</v>
      </c>
      <c r="D161" s="199">
        <v>1</v>
      </c>
      <c r="E161" s="199"/>
      <c r="F161" s="200">
        <v>50</v>
      </c>
      <c r="G161" s="199" t="s">
        <v>646</v>
      </c>
      <c r="H161" s="199">
        <v>90</v>
      </c>
      <c r="I161" s="199" t="s">
        <v>352</v>
      </c>
      <c r="J161" s="430">
        <v>304.41000000000003</v>
      </c>
      <c r="K161" s="430">
        <f t="shared" si="17"/>
        <v>304.41000000000003</v>
      </c>
      <c r="L161" s="416">
        <v>45292</v>
      </c>
      <c r="O161" s="78">
        <v>301.39999999999998</v>
      </c>
    </row>
    <row r="162" spans="1:16">
      <c r="A162" s="77"/>
      <c r="B162" s="104"/>
      <c r="C162" s="78"/>
      <c r="D162" s="78"/>
      <c r="E162" s="78"/>
      <c r="F162" s="87"/>
      <c r="G162" s="78"/>
      <c r="J162" s="78"/>
      <c r="K162" s="78"/>
      <c r="L162"/>
    </row>
    <row r="163" spans="1:16">
      <c r="A163" s="506" t="s">
        <v>162</v>
      </c>
      <c r="B163" s="431" t="s">
        <v>954</v>
      </c>
      <c r="C163" s="170">
        <f>K163/F163</f>
        <v>9.9707142857142852</v>
      </c>
      <c r="D163" s="170">
        <v>0.3</v>
      </c>
      <c r="E163" s="171"/>
      <c r="F163" s="172">
        <v>14</v>
      </c>
      <c r="G163" s="171" t="s">
        <v>13</v>
      </c>
      <c r="H163" s="171">
        <v>336</v>
      </c>
      <c r="I163" s="171" t="s">
        <v>353</v>
      </c>
      <c r="J163" s="432">
        <v>141.03</v>
      </c>
      <c r="K163" s="432">
        <v>139.59</v>
      </c>
      <c r="L163" s="416">
        <v>45292</v>
      </c>
      <c r="M163" s="144"/>
      <c r="N163" s="136"/>
      <c r="O163" s="78">
        <v>136.66</v>
      </c>
      <c r="P163" s="78">
        <v>135.26</v>
      </c>
    </row>
    <row r="164" spans="1:16">
      <c r="A164" s="506"/>
      <c r="B164" s="431" t="s">
        <v>955</v>
      </c>
      <c r="C164" s="170">
        <f>K164/F164</f>
        <v>10.568571428571429</v>
      </c>
      <c r="D164" s="170">
        <v>0.3</v>
      </c>
      <c r="E164" s="171"/>
      <c r="F164" s="172">
        <v>14</v>
      </c>
      <c r="G164" s="171" t="s">
        <v>13</v>
      </c>
      <c r="H164" s="171">
        <v>336</v>
      </c>
      <c r="I164" s="171" t="s">
        <v>353</v>
      </c>
      <c r="J164" s="432">
        <v>149.5</v>
      </c>
      <c r="K164" s="432">
        <v>147.96</v>
      </c>
      <c r="L164" s="416">
        <v>45292</v>
      </c>
      <c r="M164" s="144"/>
      <c r="N164" s="136"/>
      <c r="O164" s="78">
        <v>144.55000000000001</v>
      </c>
      <c r="P164" s="78">
        <v>143.15</v>
      </c>
    </row>
    <row r="165" spans="1:16">
      <c r="A165" s="506"/>
      <c r="B165" s="431" t="s">
        <v>956</v>
      </c>
      <c r="C165" s="170">
        <f>K165/F165</f>
        <v>6.9794999999999998</v>
      </c>
      <c r="D165" s="170">
        <v>0.5</v>
      </c>
      <c r="E165" s="171"/>
      <c r="F165" s="172">
        <v>20</v>
      </c>
      <c r="G165" s="171" t="s">
        <v>5</v>
      </c>
      <c r="H165" s="171">
        <v>480</v>
      </c>
      <c r="I165" s="171" t="s">
        <v>353</v>
      </c>
      <c r="J165" s="432">
        <v>141.03</v>
      </c>
      <c r="K165" s="432">
        <v>139.59</v>
      </c>
      <c r="L165" s="416">
        <v>45292</v>
      </c>
      <c r="M165" s="75" t="s">
        <v>957</v>
      </c>
      <c r="N165" s="136"/>
      <c r="O165" s="78">
        <v>136.66</v>
      </c>
      <c r="P165" s="78">
        <v>135.26</v>
      </c>
    </row>
    <row r="166" spans="1:16">
      <c r="A166" s="506"/>
      <c r="B166" s="431" t="s">
        <v>958</v>
      </c>
      <c r="C166" s="170">
        <f t="shared" ref="C166" si="18">K166/F166</f>
        <v>7.3980000000000006</v>
      </c>
      <c r="D166" s="170">
        <v>0.5</v>
      </c>
      <c r="E166" s="171"/>
      <c r="F166" s="172">
        <v>20</v>
      </c>
      <c r="G166" s="171" t="s">
        <v>5</v>
      </c>
      <c r="H166" s="171">
        <v>480</v>
      </c>
      <c r="I166" s="171" t="s">
        <v>353</v>
      </c>
      <c r="J166" s="432">
        <v>149.5</v>
      </c>
      <c r="K166" s="432">
        <v>147.96</v>
      </c>
      <c r="L166" s="416">
        <v>45292</v>
      </c>
      <c r="M166" s="75" t="s">
        <v>957</v>
      </c>
      <c r="N166" s="136"/>
      <c r="O166" s="78">
        <v>144.55000000000001</v>
      </c>
      <c r="P166" s="78">
        <v>143.15</v>
      </c>
    </row>
    <row r="167" spans="1:16">
      <c r="A167" s="506"/>
      <c r="B167" s="433" t="s">
        <v>93</v>
      </c>
      <c r="C167" s="434">
        <v>0</v>
      </c>
      <c r="D167" s="434">
        <v>0</v>
      </c>
      <c r="E167" s="435"/>
      <c r="F167" s="436"/>
      <c r="G167" s="435" t="s">
        <v>98</v>
      </c>
      <c r="H167" s="435" t="s">
        <v>98</v>
      </c>
      <c r="I167" s="435" t="s">
        <v>98</v>
      </c>
      <c r="J167" s="435"/>
      <c r="K167" s="435"/>
      <c r="M167" s="137"/>
      <c r="N167" s="137"/>
    </row>
    <row r="168" spans="1:16">
      <c r="A168" s="506"/>
      <c r="B168" s="431" t="s">
        <v>959</v>
      </c>
      <c r="C168" s="170">
        <f>K168/F168</f>
        <v>11.7415</v>
      </c>
      <c r="D168" s="170">
        <v>0.2</v>
      </c>
      <c r="E168" s="171"/>
      <c r="F168" s="172">
        <v>20</v>
      </c>
      <c r="G168" s="171" t="s">
        <v>5</v>
      </c>
      <c r="H168" s="171">
        <v>720</v>
      </c>
      <c r="I168" s="171" t="s">
        <v>960</v>
      </c>
      <c r="J168" s="432">
        <v>242.91</v>
      </c>
      <c r="K168" s="432">
        <v>234.83</v>
      </c>
      <c r="L168" s="416">
        <v>45292</v>
      </c>
      <c r="M168" s="136"/>
      <c r="N168" s="136"/>
      <c r="O168" s="78">
        <v>240.63</v>
      </c>
      <c r="P168" s="78">
        <v>232.62</v>
      </c>
    </row>
    <row r="169" spans="1:16">
      <c r="A169" s="506"/>
      <c r="B169" s="431" t="s">
        <v>961</v>
      </c>
      <c r="C169" s="170">
        <f>K169/F169</f>
        <v>13.602</v>
      </c>
      <c r="D169" s="170">
        <v>0.2</v>
      </c>
      <c r="E169" s="171"/>
      <c r="F169" s="172">
        <v>5</v>
      </c>
      <c r="G169" s="171" t="s">
        <v>5</v>
      </c>
      <c r="H169" s="171">
        <v>450</v>
      </c>
      <c r="I169" s="171" t="s">
        <v>960</v>
      </c>
      <c r="J169" s="432">
        <v>70.36</v>
      </c>
      <c r="K169" s="432">
        <v>68.010000000000005</v>
      </c>
      <c r="L169" s="416">
        <v>45292</v>
      </c>
      <c r="M169" s="136"/>
      <c r="N169" s="136"/>
    </row>
    <row r="170" spans="1:16">
      <c r="A170" s="77"/>
      <c r="B170" s="104"/>
      <c r="C170" s="78"/>
      <c r="D170" s="78"/>
      <c r="E170" s="78"/>
      <c r="F170" s="87"/>
      <c r="G170" s="78"/>
      <c r="J170" s="78"/>
      <c r="K170" s="78"/>
    </row>
    <row r="171" spans="1:16">
      <c r="A171" s="507" t="s">
        <v>962</v>
      </c>
      <c r="B171" s="165" t="s">
        <v>524</v>
      </c>
      <c r="C171" s="166">
        <f>K171/F171</f>
        <v>5.6044000000000009</v>
      </c>
      <c r="D171" s="166">
        <v>3.5</v>
      </c>
      <c r="E171" s="167"/>
      <c r="F171" s="168">
        <v>25</v>
      </c>
      <c r="G171" s="167" t="s">
        <v>5</v>
      </c>
      <c r="H171" s="167">
        <v>600</v>
      </c>
      <c r="I171" s="167" t="s">
        <v>353</v>
      </c>
      <c r="J171" s="437">
        <v>141.43</v>
      </c>
      <c r="K171" s="437">
        <v>140.11000000000001</v>
      </c>
      <c r="L171" s="416">
        <v>45292</v>
      </c>
      <c r="M171" s="144"/>
      <c r="O171" s="78">
        <v>137.04</v>
      </c>
      <c r="P171" s="78">
        <v>135.77000000000001</v>
      </c>
    </row>
    <row r="172" spans="1:16">
      <c r="A172" s="507"/>
      <c r="B172" s="165" t="s">
        <v>525</v>
      </c>
      <c r="C172" s="166">
        <f>K172/F172</f>
        <v>5.9408000000000003</v>
      </c>
      <c r="D172" s="166">
        <v>3.5</v>
      </c>
      <c r="E172" s="167"/>
      <c r="F172" s="168">
        <v>25</v>
      </c>
      <c r="G172" s="167" t="s">
        <v>5</v>
      </c>
      <c r="H172" s="167">
        <v>600</v>
      </c>
      <c r="I172" s="167" t="s">
        <v>353</v>
      </c>
      <c r="J172" s="437">
        <v>149.91</v>
      </c>
      <c r="K172" s="437">
        <v>148.52000000000001</v>
      </c>
      <c r="L172" s="416">
        <v>45292</v>
      </c>
      <c r="M172" s="144"/>
      <c r="O172" s="78">
        <v>142.26</v>
      </c>
      <c r="P172" s="78">
        <v>140.86000000000001</v>
      </c>
    </row>
    <row r="173" spans="1:16">
      <c r="A173" s="507"/>
      <c r="B173" s="165" t="s">
        <v>526</v>
      </c>
      <c r="C173" s="166">
        <f>K173/F173</f>
        <v>5.4151999999999996</v>
      </c>
      <c r="D173" s="166">
        <v>2.7</v>
      </c>
      <c r="E173" s="167"/>
      <c r="F173" s="168">
        <v>25</v>
      </c>
      <c r="G173" s="167" t="s">
        <v>5</v>
      </c>
      <c r="H173" s="167">
        <v>600</v>
      </c>
      <c r="I173" s="167" t="s">
        <v>353</v>
      </c>
      <c r="J173" s="437">
        <v>136.82</v>
      </c>
      <c r="K173" s="437">
        <v>135.38</v>
      </c>
      <c r="L173" s="416">
        <v>45292</v>
      </c>
      <c r="M173" s="144"/>
      <c r="O173" s="78">
        <v>132.58000000000001</v>
      </c>
      <c r="P173" s="78">
        <v>131.18</v>
      </c>
    </row>
    <row r="174" spans="1:16">
      <c r="A174" s="507"/>
      <c r="B174" s="165" t="s">
        <v>527</v>
      </c>
      <c r="C174" s="166">
        <f>K174/F174</f>
        <v>5.74</v>
      </c>
      <c r="D174" s="166">
        <v>2.7</v>
      </c>
      <c r="E174" s="167"/>
      <c r="F174" s="168">
        <v>25</v>
      </c>
      <c r="G174" s="167" t="s">
        <v>5</v>
      </c>
      <c r="H174" s="167">
        <v>600</v>
      </c>
      <c r="I174" s="167" t="s">
        <v>353</v>
      </c>
      <c r="J174" s="437">
        <v>145.03</v>
      </c>
      <c r="K174" s="437">
        <v>143.5</v>
      </c>
      <c r="L174" s="416">
        <v>45292</v>
      </c>
      <c r="M174" s="144"/>
      <c r="O174" s="78">
        <v>137.04</v>
      </c>
      <c r="P174" s="78">
        <v>135.77000000000001</v>
      </c>
    </row>
    <row r="175" spans="1:16">
      <c r="A175" s="507"/>
      <c r="B175" s="438" t="s">
        <v>98</v>
      </c>
      <c r="C175" s="122"/>
      <c r="D175" s="122"/>
      <c r="E175" s="123"/>
      <c r="F175" s="124"/>
      <c r="G175" s="123"/>
      <c r="H175" s="123"/>
      <c r="I175" s="123"/>
      <c r="J175" s="439"/>
      <c r="K175" s="439"/>
      <c r="M175" s="440"/>
    </row>
    <row r="176" spans="1:16">
      <c r="A176" s="507"/>
      <c r="B176" s="165" t="s">
        <v>518</v>
      </c>
      <c r="C176" s="166">
        <f t="shared" ref="C176:C179" si="19">K176/F176</f>
        <v>5.8355999999999995</v>
      </c>
      <c r="D176" s="166">
        <v>2</v>
      </c>
      <c r="E176" s="167"/>
      <c r="F176" s="168">
        <v>25</v>
      </c>
      <c r="G176" s="167" t="s">
        <v>5</v>
      </c>
      <c r="H176" s="167">
        <v>600</v>
      </c>
      <c r="I176" s="167" t="s">
        <v>353</v>
      </c>
      <c r="J176" s="437">
        <v>147.35</v>
      </c>
      <c r="K176" s="437">
        <v>145.88999999999999</v>
      </c>
      <c r="L176" s="416">
        <v>45292</v>
      </c>
      <c r="M176" s="144"/>
      <c r="O176" s="78">
        <v>142.78</v>
      </c>
      <c r="P176" s="78">
        <v>141.37</v>
      </c>
    </row>
    <row r="177" spans="1:16">
      <c r="A177" s="507"/>
      <c r="B177" s="165" t="s">
        <v>519</v>
      </c>
      <c r="C177" s="166">
        <f t="shared" si="19"/>
        <v>6.1859999999999999</v>
      </c>
      <c r="D177" s="166">
        <v>2</v>
      </c>
      <c r="E177" s="167"/>
      <c r="F177" s="168">
        <v>25</v>
      </c>
      <c r="G177" s="167" t="s">
        <v>5</v>
      </c>
      <c r="H177" s="167">
        <v>600</v>
      </c>
      <c r="I177" s="167" t="s">
        <v>353</v>
      </c>
      <c r="J177" s="437">
        <v>156.19</v>
      </c>
      <c r="K177" s="437">
        <v>154.65</v>
      </c>
      <c r="L177" s="416">
        <v>45292</v>
      </c>
      <c r="M177" s="144"/>
      <c r="O177" s="78">
        <v>148.25</v>
      </c>
      <c r="P177" s="78">
        <v>146.72</v>
      </c>
    </row>
    <row r="178" spans="1:16">
      <c r="A178" s="507"/>
      <c r="B178" s="165" t="s">
        <v>520</v>
      </c>
      <c r="C178" s="166">
        <f t="shared" si="19"/>
        <v>6.0832000000000006</v>
      </c>
      <c r="D178" s="166">
        <v>1.5</v>
      </c>
      <c r="E178" s="167"/>
      <c r="F178" s="168">
        <v>25</v>
      </c>
      <c r="G178" s="167" t="s">
        <v>5</v>
      </c>
      <c r="H178" s="167">
        <v>600</v>
      </c>
      <c r="I178" s="167" t="s">
        <v>353</v>
      </c>
      <c r="J178" s="437">
        <v>153.63999999999999</v>
      </c>
      <c r="K178" s="437">
        <v>152.08000000000001</v>
      </c>
      <c r="L178" s="416">
        <v>45292</v>
      </c>
      <c r="M178" s="144"/>
      <c r="O178" s="78">
        <v>148.88</v>
      </c>
      <c r="P178" s="78">
        <v>147.36000000000001</v>
      </c>
    </row>
    <row r="179" spans="1:16">
      <c r="A179" s="507"/>
      <c r="B179" s="165" t="s">
        <v>521</v>
      </c>
      <c r="C179" s="166">
        <f t="shared" si="19"/>
        <v>6.4479999999999995</v>
      </c>
      <c r="D179" s="166">
        <v>1.5</v>
      </c>
      <c r="E179" s="167"/>
      <c r="F179" s="168">
        <v>25</v>
      </c>
      <c r="G179" s="167" t="s">
        <v>5</v>
      </c>
      <c r="H179" s="167">
        <v>600</v>
      </c>
      <c r="I179" s="167" t="s">
        <v>353</v>
      </c>
      <c r="J179" s="437">
        <v>162.86000000000001</v>
      </c>
      <c r="K179" s="437">
        <v>161.19999999999999</v>
      </c>
      <c r="L179" s="416">
        <v>45292</v>
      </c>
      <c r="M179" s="144"/>
      <c r="O179" s="78">
        <v>154.36000000000001</v>
      </c>
      <c r="P179" s="78">
        <v>152.83000000000001</v>
      </c>
    </row>
    <row r="180" spans="1:16">
      <c r="A180" s="507"/>
      <c r="B180" s="438" t="s">
        <v>98</v>
      </c>
      <c r="C180" s="441"/>
      <c r="D180" s="441"/>
      <c r="E180" s="441"/>
      <c r="F180" s="442"/>
      <c r="G180" s="441"/>
      <c r="H180" s="441"/>
      <c r="I180" s="441"/>
      <c r="J180" s="441"/>
      <c r="K180" s="441"/>
      <c r="M180" s="78"/>
    </row>
    <row r="181" spans="1:16">
      <c r="A181" s="507"/>
      <c r="B181" s="165" t="s">
        <v>963</v>
      </c>
      <c r="C181" s="166">
        <f>K181/F181</f>
        <v>7.6128</v>
      </c>
      <c r="D181" s="166">
        <v>2</v>
      </c>
      <c r="E181" s="167"/>
      <c r="F181" s="168">
        <v>25</v>
      </c>
      <c r="G181" s="167" t="s">
        <v>5</v>
      </c>
      <c r="H181" s="167">
        <v>600</v>
      </c>
      <c r="I181" s="167" t="s">
        <v>353</v>
      </c>
      <c r="J181" s="437">
        <v>192.11</v>
      </c>
      <c r="K181" s="437">
        <v>190.32</v>
      </c>
      <c r="L181" s="416">
        <v>45292</v>
      </c>
      <c r="M181" s="144"/>
      <c r="O181" s="78">
        <v>186.15</v>
      </c>
      <c r="P181" s="78">
        <v>184.42</v>
      </c>
    </row>
    <row r="182" spans="1:16">
      <c r="A182" s="507"/>
      <c r="B182" s="165" t="s">
        <v>964</v>
      </c>
      <c r="C182" s="166">
        <f>K182/F182</f>
        <v>7.76</v>
      </c>
      <c r="D182" s="166">
        <v>2</v>
      </c>
      <c r="E182" s="167"/>
      <c r="F182" s="168">
        <v>25</v>
      </c>
      <c r="G182" s="167" t="s">
        <v>5</v>
      </c>
      <c r="H182" s="167">
        <v>600</v>
      </c>
      <c r="I182" s="167" t="s">
        <v>353</v>
      </c>
      <c r="J182" s="437">
        <v>195.84</v>
      </c>
      <c r="K182" s="437">
        <v>194</v>
      </c>
      <c r="L182" s="416">
        <v>45292</v>
      </c>
      <c r="M182" s="144"/>
      <c r="O182" s="78">
        <v>189.77</v>
      </c>
      <c r="P182" s="78">
        <v>187.98</v>
      </c>
    </row>
    <row r="183" spans="1:16">
      <c r="A183" s="507"/>
      <c r="B183" s="438" t="s">
        <v>98</v>
      </c>
      <c r="C183" s="441"/>
      <c r="D183" s="441"/>
      <c r="E183" s="441"/>
      <c r="F183" s="442"/>
      <c r="G183" s="441"/>
      <c r="H183" s="441"/>
      <c r="I183" s="441"/>
      <c r="J183" s="441"/>
      <c r="K183" s="441"/>
      <c r="M183" s="78"/>
    </row>
    <row r="184" spans="1:16">
      <c r="A184" s="507"/>
      <c r="B184" s="165" t="s">
        <v>528</v>
      </c>
      <c r="C184" s="166">
        <f>K184/F184</f>
        <v>4.6631999999999998</v>
      </c>
      <c r="D184" s="166">
        <f>1.4*3</f>
        <v>4.1999999999999993</v>
      </c>
      <c r="E184" s="167"/>
      <c r="F184" s="168">
        <v>25</v>
      </c>
      <c r="G184" s="167" t="s">
        <v>5</v>
      </c>
      <c r="H184" s="167">
        <v>1050</v>
      </c>
      <c r="I184" s="167" t="s">
        <v>346</v>
      </c>
      <c r="J184" s="437">
        <v>125.9</v>
      </c>
      <c r="K184" s="437">
        <v>116.58</v>
      </c>
      <c r="L184" s="416">
        <v>45292</v>
      </c>
      <c r="M184" s="136"/>
      <c r="O184" s="78">
        <v>120.43</v>
      </c>
      <c r="P184" s="78">
        <v>113.18</v>
      </c>
    </row>
    <row r="185" spans="1:16">
      <c r="A185" s="507"/>
      <c r="B185" s="165" t="s">
        <v>965</v>
      </c>
      <c r="C185" s="166">
        <f>K185/F185</f>
        <v>41</v>
      </c>
      <c r="D185" s="166">
        <v>0.1</v>
      </c>
      <c r="E185" s="167"/>
      <c r="F185" s="168">
        <v>4</v>
      </c>
      <c r="G185" s="167" t="s">
        <v>13</v>
      </c>
      <c r="H185" s="167" t="s">
        <v>98</v>
      </c>
      <c r="I185" s="167" t="s">
        <v>960</v>
      </c>
      <c r="J185" s="437">
        <v>170.59</v>
      </c>
      <c r="K185" s="437">
        <v>164</v>
      </c>
      <c r="L185" s="416">
        <v>45292</v>
      </c>
      <c r="M185" s="136"/>
      <c r="O185" s="78">
        <v>165.62</v>
      </c>
      <c r="P185" s="78">
        <v>159.22</v>
      </c>
    </row>
    <row r="186" spans="1:16">
      <c r="A186" s="507"/>
      <c r="B186" s="438" t="s">
        <v>98</v>
      </c>
      <c r="C186" s="441"/>
      <c r="D186" s="441"/>
      <c r="E186" s="441"/>
      <c r="F186" s="442"/>
      <c r="G186" s="441"/>
      <c r="H186" s="441"/>
      <c r="I186" s="441"/>
      <c r="J186" s="441"/>
      <c r="K186" s="441"/>
      <c r="M186" s="78"/>
    </row>
    <row r="187" spans="1:16">
      <c r="A187" s="507"/>
      <c r="B187" s="165" t="s">
        <v>966</v>
      </c>
      <c r="C187" s="166">
        <f>K187/F187</f>
        <v>1.3244</v>
      </c>
      <c r="D187" s="166">
        <f>1.6*2.5</f>
        <v>4</v>
      </c>
      <c r="E187" s="167"/>
      <c r="F187" s="168">
        <v>25</v>
      </c>
      <c r="G187" s="167" t="s">
        <v>5</v>
      </c>
      <c r="H187" s="167">
        <v>1200</v>
      </c>
      <c r="I187" s="167" t="s">
        <v>346</v>
      </c>
      <c r="J187" s="437">
        <v>35.409999999999997</v>
      </c>
      <c r="K187" s="443">
        <v>33.11</v>
      </c>
      <c r="L187" s="416">
        <v>45292</v>
      </c>
      <c r="M187" s="139"/>
      <c r="O187" s="78">
        <v>34.72</v>
      </c>
      <c r="P187" s="78">
        <v>32.46</v>
      </c>
    </row>
    <row r="188" spans="1:16">
      <c r="A188" s="507"/>
      <c r="B188" s="444" t="s">
        <v>98</v>
      </c>
      <c r="C188" s="441"/>
      <c r="D188" s="441"/>
      <c r="E188" s="441"/>
      <c r="F188" s="442"/>
      <c r="G188" s="441"/>
      <c r="H188" s="441"/>
      <c r="I188" s="441"/>
      <c r="J188" s="441"/>
      <c r="K188" s="441"/>
      <c r="M188" s="78"/>
    </row>
    <row r="189" spans="1:16">
      <c r="A189" s="507"/>
      <c r="B189" s="165" t="s">
        <v>967</v>
      </c>
      <c r="C189" s="166">
        <f>K189/F189</f>
        <v>0.95519999999999994</v>
      </c>
      <c r="D189" s="166">
        <v>1.5</v>
      </c>
      <c r="E189" s="167"/>
      <c r="F189" s="168">
        <v>25</v>
      </c>
      <c r="G189" s="167" t="s">
        <v>5</v>
      </c>
      <c r="H189" s="167">
        <v>1200</v>
      </c>
      <c r="I189" s="167" t="s">
        <v>346</v>
      </c>
      <c r="J189" s="437">
        <v>25.79</v>
      </c>
      <c r="K189" s="443">
        <v>23.88</v>
      </c>
      <c r="L189" s="416">
        <v>45292</v>
      </c>
      <c r="M189" s="139"/>
      <c r="O189" s="418">
        <v>25.02</v>
      </c>
      <c r="P189" s="78">
        <v>23.64</v>
      </c>
    </row>
    <row r="190" spans="1:16">
      <c r="A190" s="507"/>
      <c r="B190" s="165" t="s">
        <v>968</v>
      </c>
      <c r="C190" s="166">
        <f>K190/F190</f>
        <v>1.0504</v>
      </c>
      <c r="D190" s="166">
        <v>1.5</v>
      </c>
      <c r="E190" s="167"/>
      <c r="F190" s="168">
        <v>25</v>
      </c>
      <c r="G190" s="167" t="s">
        <v>5</v>
      </c>
      <c r="H190" s="167">
        <v>1200</v>
      </c>
      <c r="I190" s="167" t="s">
        <v>346</v>
      </c>
      <c r="J190" s="437">
        <v>28.37</v>
      </c>
      <c r="K190" s="443">
        <v>26.26</v>
      </c>
      <c r="L190" s="416">
        <v>45292</v>
      </c>
      <c r="M190" s="139"/>
      <c r="O190" s="418">
        <v>27.4</v>
      </c>
      <c r="P190" s="78">
        <v>25.94</v>
      </c>
    </row>
    <row r="191" spans="1:16">
      <c r="A191" s="507"/>
      <c r="B191" s="444" t="s">
        <v>98</v>
      </c>
      <c r="C191" s="441"/>
      <c r="D191" s="441"/>
      <c r="E191" s="441"/>
      <c r="F191" s="442"/>
      <c r="G191" s="441"/>
      <c r="H191" s="441"/>
      <c r="I191" s="441"/>
      <c r="J191" s="441"/>
      <c r="K191" s="441"/>
      <c r="M191" s="78"/>
    </row>
    <row r="192" spans="1:16">
      <c r="A192" s="507"/>
      <c r="B192" s="165" t="s">
        <v>969</v>
      </c>
      <c r="C192" s="166">
        <f t="shared" ref="C192:C201" si="20">K192/F192</f>
        <v>1.8963999999999999</v>
      </c>
      <c r="D192" s="166">
        <v>5.5</v>
      </c>
      <c r="E192" s="167"/>
      <c r="F192" s="168">
        <v>25</v>
      </c>
      <c r="G192" s="167" t="s">
        <v>5</v>
      </c>
      <c r="H192" s="167">
        <v>1200</v>
      </c>
      <c r="I192" s="167" t="s">
        <v>346</v>
      </c>
      <c r="J192" s="437">
        <v>51.2</v>
      </c>
      <c r="K192" s="437">
        <v>47.41</v>
      </c>
      <c r="L192" s="416">
        <v>45292</v>
      </c>
      <c r="M192" s="136"/>
      <c r="O192" s="418">
        <v>49.71</v>
      </c>
      <c r="P192" s="418">
        <v>46.94</v>
      </c>
    </row>
    <row r="193" spans="1:16">
      <c r="A193" s="507"/>
      <c r="B193" s="165" t="s">
        <v>970</v>
      </c>
      <c r="C193" s="166">
        <f t="shared" si="20"/>
        <v>1.8675999999999999</v>
      </c>
      <c r="D193" s="166">
        <v>5.5</v>
      </c>
      <c r="E193" s="167"/>
      <c r="F193" s="168">
        <v>25</v>
      </c>
      <c r="G193" s="167" t="s">
        <v>5</v>
      </c>
      <c r="H193" s="167">
        <v>1200</v>
      </c>
      <c r="I193" s="167" t="s">
        <v>346</v>
      </c>
      <c r="J193" s="437">
        <v>50.43</v>
      </c>
      <c r="K193" s="437">
        <v>46.69</v>
      </c>
      <c r="L193" s="416">
        <v>45292</v>
      </c>
      <c r="M193" s="136"/>
      <c r="O193" s="418">
        <v>49</v>
      </c>
      <c r="P193" s="418">
        <v>46.23</v>
      </c>
    </row>
    <row r="194" spans="1:16">
      <c r="A194" s="507"/>
      <c r="B194" s="165" t="s">
        <v>971</v>
      </c>
      <c r="C194" s="166">
        <f t="shared" si="20"/>
        <v>0.92599999999999993</v>
      </c>
      <c r="D194" s="166">
        <v>6</v>
      </c>
      <c r="E194" s="167"/>
      <c r="F194" s="168">
        <v>25</v>
      </c>
      <c r="G194" s="167" t="s">
        <v>5</v>
      </c>
      <c r="H194" s="167">
        <v>1200</v>
      </c>
      <c r="I194" s="167" t="s">
        <v>346</v>
      </c>
      <c r="J194" s="437">
        <v>24.88</v>
      </c>
      <c r="K194" s="437">
        <v>23.15</v>
      </c>
      <c r="L194" s="416">
        <v>45292</v>
      </c>
      <c r="M194" s="136"/>
      <c r="O194" s="418">
        <v>24.2</v>
      </c>
      <c r="P194" s="418">
        <v>22.81</v>
      </c>
    </row>
    <row r="195" spans="1:16">
      <c r="A195" s="507"/>
      <c r="B195" s="165" t="s">
        <v>972</v>
      </c>
      <c r="C195" s="166">
        <f t="shared" si="20"/>
        <v>0.87120000000000009</v>
      </c>
      <c r="D195" s="166">
        <v>6</v>
      </c>
      <c r="E195" s="167"/>
      <c r="F195" s="168">
        <v>25</v>
      </c>
      <c r="G195" s="167" t="s">
        <v>5</v>
      </c>
      <c r="H195" s="167">
        <v>1200</v>
      </c>
      <c r="I195" s="167" t="s">
        <v>346</v>
      </c>
      <c r="J195" s="437">
        <v>23.41</v>
      </c>
      <c r="K195" s="437">
        <v>21.78</v>
      </c>
      <c r="L195" s="416">
        <v>45292</v>
      </c>
      <c r="M195" s="136"/>
      <c r="O195" s="418">
        <v>22.94</v>
      </c>
      <c r="P195" s="418">
        <v>21.46</v>
      </c>
    </row>
    <row r="196" spans="1:16">
      <c r="A196" s="507"/>
      <c r="B196" s="165" t="s">
        <v>973</v>
      </c>
      <c r="C196" s="166">
        <f t="shared" si="20"/>
        <v>3.1265000000000001</v>
      </c>
      <c r="D196" s="166">
        <v>6</v>
      </c>
      <c r="E196" s="167"/>
      <c r="F196" s="168">
        <v>20</v>
      </c>
      <c r="G196" s="167" t="s">
        <v>5</v>
      </c>
      <c r="H196" s="167">
        <v>720</v>
      </c>
      <c r="I196" s="167" t="s">
        <v>346</v>
      </c>
      <c r="J196" s="437">
        <v>67.53</v>
      </c>
      <c r="K196" s="437">
        <v>62.53</v>
      </c>
      <c r="L196" s="416">
        <v>45292</v>
      </c>
      <c r="M196" s="136"/>
      <c r="O196" s="418"/>
      <c r="P196" s="418"/>
    </row>
    <row r="197" spans="1:16">
      <c r="A197" s="507"/>
      <c r="B197" s="165" t="s">
        <v>974</v>
      </c>
      <c r="C197" s="166">
        <f t="shared" si="20"/>
        <v>0.96760000000000002</v>
      </c>
      <c r="D197" s="166">
        <v>6</v>
      </c>
      <c r="E197" s="167"/>
      <c r="F197" s="168">
        <v>25</v>
      </c>
      <c r="G197" s="167" t="s">
        <v>5</v>
      </c>
      <c r="H197" s="167">
        <v>1200</v>
      </c>
      <c r="I197" s="167" t="s">
        <v>346</v>
      </c>
      <c r="J197" s="437">
        <v>26.12</v>
      </c>
      <c r="K197" s="437">
        <v>24.19</v>
      </c>
      <c r="L197" s="416">
        <v>45292</v>
      </c>
      <c r="M197" s="136"/>
      <c r="O197" s="418">
        <v>27.68</v>
      </c>
      <c r="P197" s="418">
        <v>26.1</v>
      </c>
    </row>
    <row r="198" spans="1:16">
      <c r="A198" s="507"/>
      <c r="B198" s="165" t="s">
        <v>975</v>
      </c>
      <c r="C198" s="166">
        <f t="shared" si="20"/>
        <v>1.6255999999999999</v>
      </c>
      <c r="D198" s="166">
        <v>6</v>
      </c>
      <c r="E198" s="167"/>
      <c r="F198" s="168">
        <v>25</v>
      </c>
      <c r="G198" s="167" t="s">
        <v>5</v>
      </c>
      <c r="H198" s="167">
        <v>1200</v>
      </c>
      <c r="I198" s="167" t="s">
        <v>346</v>
      </c>
      <c r="J198" s="437">
        <v>43.89</v>
      </c>
      <c r="K198" s="437">
        <v>40.64</v>
      </c>
      <c r="L198" s="416">
        <v>45292</v>
      </c>
      <c r="M198" s="136"/>
      <c r="O198" s="418">
        <v>42.66</v>
      </c>
      <c r="P198" s="418">
        <v>40.24</v>
      </c>
    </row>
    <row r="199" spans="1:16">
      <c r="A199" s="507"/>
      <c r="B199" s="165" t="s">
        <v>976</v>
      </c>
      <c r="C199" s="166">
        <f t="shared" si="20"/>
        <v>1.7068000000000001</v>
      </c>
      <c r="D199" s="166">
        <v>6</v>
      </c>
      <c r="E199" s="167"/>
      <c r="F199" s="168">
        <v>25</v>
      </c>
      <c r="G199" s="167" t="s">
        <v>5</v>
      </c>
      <c r="H199" s="167">
        <v>1200</v>
      </c>
      <c r="I199" s="167" t="s">
        <v>346</v>
      </c>
      <c r="J199" s="437">
        <v>46.09</v>
      </c>
      <c r="K199" s="437">
        <v>42.67</v>
      </c>
      <c r="L199" s="416">
        <v>45292</v>
      </c>
      <c r="M199" s="136"/>
      <c r="O199" s="418">
        <v>45.37</v>
      </c>
      <c r="P199" s="418">
        <v>42.79</v>
      </c>
    </row>
    <row r="200" spans="1:16">
      <c r="A200" s="507"/>
      <c r="B200" s="165" t="s">
        <v>977</v>
      </c>
      <c r="C200" s="166">
        <f t="shared" si="20"/>
        <v>2.2431999999999999</v>
      </c>
      <c r="D200" s="166">
        <v>5.4</v>
      </c>
      <c r="E200" s="167"/>
      <c r="F200" s="168">
        <v>25</v>
      </c>
      <c r="G200" s="167" t="s">
        <v>5</v>
      </c>
      <c r="H200" s="167">
        <v>1200</v>
      </c>
      <c r="I200" s="167" t="s">
        <v>346</v>
      </c>
      <c r="J200" s="437">
        <v>60.56</v>
      </c>
      <c r="K200" s="437">
        <v>56.08</v>
      </c>
      <c r="L200" s="416">
        <v>45292</v>
      </c>
      <c r="M200" s="136"/>
      <c r="O200" s="418">
        <v>58.86</v>
      </c>
      <c r="P200" s="418">
        <v>55.52</v>
      </c>
    </row>
    <row r="201" spans="1:16">
      <c r="A201" s="507"/>
      <c r="B201" s="165" t="s">
        <v>978</v>
      </c>
      <c r="C201" s="166">
        <f t="shared" si="20"/>
        <v>2.1996000000000002</v>
      </c>
      <c r="D201" s="166">
        <v>5.4</v>
      </c>
      <c r="E201" s="167"/>
      <c r="F201" s="168">
        <v>25</v>
      </c>
      <c r="G201" s="167" t="s">
        <v>5</v>
      </c>
      <c r="H201" s="167">
        <v>1200</v>
      </c>
      <c r="I201" s="167" t="s">
        <v>346</v>
      </c>
      <c r="J201" s="437">
        <v>59.39</v>
      </c>
      <c r="K201" s="437">
        <v>54.99</v>
      </c>
      <c r="L201" s="416">
        <v>45292</v>
      </c>
      <c r="M201" s="136"/>
      <c r="O201" s="418">
        <v>57.61</v>
      </c>
      <c r="P201" s="418">
        <v>54.45</v>
      </c>
    </row>
    <row r="202" spans="1:16">
      <c r="A202" s="507"/>
      <c r="B202" s="444" t="s">
        <v>98</v>
      </c>
      <c r="C202" s="441"/>
      <c r="D202" s="441"/>
      <c r="E202" s="441"/>
      <c r="F202" s="442"/>
      <c r="G202" s="441"/>
      <c r="H202" s="441"/>
      <c r="I202" s="441"/>
      <c r="J202" s="441"/>
      <c r="K202" s="441"/>
      <c r="M202" s="78"/>
    </row>
    <row r="203" spans="1:16">
      <c r="A203" s="507"/>
      <c r="B203" s="165" t="s">
        <v>979</v>
      </c>
      <c r="C203" s="166">
        <f>K203/F203</f>
        <v>3.5935000000000001</v>
      </c>
      <c r="D203" s="167"/>
      <c r="E203" s="167"/>
      <c r="F203" s="168">
        <v>20</v>
      </c>
      <c r="G203" s="167" t="s">
        <v>5</v>
      </c>
      <c r="H203" s="167">
        <v>720</v>
      </c>
      <c r="I203" s="167" t="s">
        <v>351</v>
      </c>
      <c r="J203" s="437">
        <v>74</v>
      </c>
      <c r="K203" s="437">
        <v>71.87</v>
      </c>
      <c r="L203" s="416">
        <v>45292</v>
      </c>
      <c r="M203" s="136"/>
      <c r="O203" s="78">
        <v>73.27</v>
      </c>
      <c r="P203" s="78">
        <v>71.16</v>
      </c>
    </row>
    <row r="204" spans="1:16">
      <c r="A204" s="507"/>
      <c r="B204" s="165" t="s">
        <v>980</v>
      </c>
      <c r="C204" s="166">
        <f>K204/F204</f>
        <v>6.8254999999999999</v>
      </c>
      <c r="D204" s="167"/>
      <c r="E204" s="167"/>
      <c r="F204" s="168">
        <v>20</v>
      </c>
      <c r="G204" s="167" t="s">
        <v>5</v>
      </c>
      <c r="H204" s="167">
        <v>720</v>
      </c>
      <c r="I204" s="167" t="s">
        <v>351</v>
      </c>
      <c r="J204" s="437">
        <v>140.61000000000001</v>
      </c>
      <c r="K204" s="437">
        <v>136.51</v>
      </c>
      <c r="L204" s="416">
        <v>45292</v>
      </c>
      <c r="M204" s="136"/>
      <c r="O204" s="78">
        <v>139.22</v>
      </c>
      <c r="P204" s="78">
        <v>135.16</v>
      </c>
    </row>
    <row r="205" spans="1:16">
      <c r="A205" s="507"/>
      <c r="B205" s="165" t="s">
        <v>981</v>
      </c>
      <c r="C205" s="166">
        <f>K205/F205</f>
        <v>3.5926666666666667</v>
      </c>
      <c r="D205" s="167"/>
      <c r="E205" s="167"/>
      <c r="F205" s="168">
        <v>15</v>
      </c>
      <c r="G205" s="167" t="s">
        <v>5</v>
      </c>
      <c r="H205" s="167">
        <v>600</v>
      </c>
      <c r="I205" s="167" t="s">
        <v>346</v>
      </c>
      <c r="J205" s="437">
        <v>55.5</v>
      </c>
      <c r="K205" s="437">
        <v>53.89</v>
      </c>
      <c r="L205" s="416">
        <v>45292</v>
      </c>
      <c r="M205" s="136"/>
    </row>
    <row r="206" spans="1:16">
      <c r="M206" s="78"/>
    </row>
    <row r="207" spans="1:16">
      <c r="A207" s="503"/>
      <c r="B207" s="174" t="s">
        <v>522</v>
      </c>
      <c r="C207" s="175">
        <f>K207/F207</f>
        <v>16.992857142857144</v>
      </c>
      <c r="D207" s="175">
        <v>0.3</v>
      </c>
      <c r="E207" s="176"/>
      <c r="F207" s="177">
        <v>14</v>
      </c>
      <c r="G207" s="176" t="s">
        <v>13</v>
      </c>
      <c r="H207" s="176">
        <v>336</v>
      </c>
      <c r="I207" s="176" t="s">
        <v>353</v>
      </c>
      <c r="J207" s="445">
        <v>240.27</v>
      </c>
      <c r="K207" s="445">
        <v>237.9</v>
      </c>
      <c r="L207" s="416">
        <v>45292</v>
      </c>
      <c r="M207" s="144"/>
      <c r="O207" s="78">
        <v>232.82</v>
      </c>
      <c r="P207" s="78">
        <v>230.52</v>
      </c>
    </row>
    <row r="208" spans="1:16">
      <c r="A208" s="503"/>
      <c r="B208" s="174" t="s">
        <v>523</v>
      </c>
      <c r="C208" s="175">
        <f>K208/F208</f>
        <v>18.012142857142855</v>
      </c>
      <c r="D208" s="175">
        <v>0.3</v>
      </c>
      <c r="E208" s="176"/>
      <c r="F208" s="177">
        <v>14</v>
      </c>
      <c r="G208" s="176" t="s">
        <v>13</v>
      </c>
      <c r="H208" s="176">
        <v>336</v>
      </c>
      <c r="I208" s="176" t="s">
        <v>353</v>
      </c>
      <c r="J208" s="445">
        <v>254.69</v>
      </c>
      <c r="K208" s="445">
        <v>252.17</v>
      </c>
      <c r="L208" s="416">
        <v>45292</v>
      </c>
      <c r="M208" s="144"/>
      <c r="O208" s="78">
        <v>247.72</v>
      </c>
      <c r="P208" s="78">
        <v>245.3</v>
      </c>
    </row>
    <row r="209" spans="1:16">
      <c r="A209" s="503"/>
      <c r="B209" s="109" t="s">
        <v>98</v>
      </c>
      <c r="C209" s="70" t="s">
        <v>98</v>
      </c>
      <c r="D209" s="70" t="s">
        <v>98</v>
      </c>
      <c r="E209" s="70"/>
      <c r="F209" s="92" t="s">
        <v>98</v>
      </c>
      <c r="G209" s="70" t="s">
        <v>98</v>
      </c>
      <c r="H209" s="70" t="s">
        <v>98</v>
      </c>
      <c r="I209" s="70" t="s">
        <v>98</v>
      </c>
      <c r="J209" s="70" t="s">
        <v>98</v>
      </c>
      <c r="K209" s="70" t="s">
        <v>98</v>
      </c>
      <c r="M209" s="78"/>
    </row>
    <row r="210" spans="1:16">
      <c r="A210" s="503"/>
      <c r="B210" s="174" t="s">
        <v>959</v>
      </c>
      <c r="C210" s="175">
        <f>K210/F210</f>
        <v>11.7415</v>
      </c>
      <c r="D210" s="175">
        <v>0.2</v>
      </c>
      <c r="E210" s="176"/>
      <c r="F210" s="177">
        <v>20</v>
      </c>
      <c r="G210" s="176" t="s">
        <v>5</v>
      </c>
      <c r="H210" s="176">
        <v>720</v>
      </c>
      <c r="I210" s="176" t="s">
        <v>353</v>
      </c>
      <c r="J210" s="445">
        <f>J168</f>
        <v>242.91</v>
      </c>
      <c r="K210" s="445">
        <f>K168</f>
        <v>234.83</v>
      </c>
      <c r="L210" s="416">
        <v>45292</v>
      </c>
      <c r="M210" s="136"/>
      <c r="O210" s="78">
        <f>O168</f>
        <v>240.63</v>
      </c>
      <c r="P210" s="78">
        <f>P168</f>
        <v>232.62</v>
      </c>
    </row>
    <row r="211" spans="1:16">
      <c r="A211" s="503"/>
      <c r="B211" s="174" t="s">
        <v>961</v>
      </c>
      <c r="C211" s="175">
        <f>K211/F211</f>
        <v>13.602</v>
      </c>
      <c r="D211" s="175">
        <v>0.2</v>
      </c>
      <c r="E211" s="176"/>
      <c r="F211" s="177">
        <v>5</v>
      </c>
      <c r="G211" s="176" t="s">
        <v>5</v>
      </c>
      <c r="H211" s="176">
        <v>450</v>
      </c>
      <c r="I211" s="176" t="s">
        <v>353</v>
      </c>
      <c r="J211" s="445">
        <f>J169</f>
        <v>70.36</v>
      </c>
      <c r="K211" s="445">
        <f>K169</f>
        <v>68.010000000000005</v>
      </c>
      <c r="L211" s="416">
        <v>45292</v>
      </c>
      <c r="M211" s="136"/>
      <c r="O211" s="78" t="s">
        <v>98</v>
      </c>
      <c r="P211" s="78" t="s">
        <v>98</v>
      </c>
    </row>
    <row r="212" spans="1:16">
      <c r="A212" s="503"/>
      <c r="B212" s="174" t="s">
        <v>982</v>
      </c>
      <c r="C212" s="175">
        <f>K212/F212</f>
        <v>7.7080000000000002</v>
      </c>
      <c r="D212" s="175">
        <v>0.3</v>
      </c>
      <c r="E212" s="176"/>
      <c r="F212" s="177">
        <v>20</v>
      </c>
      <c r="G212" s="176" t="s">
        <v>5</v>
      </c>
      <c r="H212" s="176">
        <v>480</v>
      </c>
      <c r="I212" s="176" t="s">
        <v>353</v>
      </c>
      <c r="J212" s="446">
        <v>159.49</v>
      </c>
      <c r="K212" s="446">
        <v>154.16</v>
      </c>
      <c r="L212" s="416">
        <v>45292</v>
      </c>
      <c r="M212" s="139"/>
      <c r="O212" s="78">
        <v>157.91</v>
      </c>
      <c r="P212" s="78">
        <v>152.63</v>
      </c>
    </row>
    <row r="213" spans="1:16">
      <c r="A213" s="503"/>
      <c r="B213" s="109" t="s">
        <v>98</v>
      </c>
      <c r="C213" s="70" t="s">
        <v>98</v>
      </c>
      <c r="D213" s="70" t="s">
        <v>98</v>
      </c>
      <c r="E213" s="70"/>
      <c r="F213" s="92" t="s">
        <v>98</v>
      </c>
      <c r="G213" s="70" t="s">
        <v>98</v>
      </c>
      <c r="H213" s="70" t="s">
        <v>98</v>
      </c>
      <c r="I213" s="70" t="s">
        <v>98</v>
      </c>
      <c r="J213" s="70" t="s">
        <v>98</v>
      </c>
      <c r="K213" s="70" t="s">
        <v>98</v>
      </c>
      <c r="M213" s="78"/>
    </row>
    <row r="214" spans="1:16">
      <c r="A214" s="503"/>
      <c r="B214" s="174" t="s">
        <v>983</v>
      </c>
      <c r="C214" s="176">
        <f>K214/F214</f>
        <v>0.76730000000000009</v>
      </c>
      <c r="D214" s="175">
        <v>5.5</v>
      </c>
      <c r="E214" s="176"/>
      <c r="F214" s="177">
        <v>100</v>
      </c>
      <c r="G214" s="176" t="s">
        <v>8</v>
      </c>
      <c r="H214" s="176" t="s">
        <v>98</v>
      </c>
      <c r="I214" s="176" t="s">
        <v>351</v>
      </c>
      <c r="J214" s="445">
        <v>76.73</v>
      </c>
      <c r="K214" s="445">
        <f>J214</f>
        <v>76.73</v>
      </c>
      <c r="L214" s="416">
        <v>45292</v>
      </c>
      <c r="M214" s="139"/>
      <c r="O214" s="418">
        <v>74.5</v>
      </c>
      <c r="P214" s="418">
        <v>74.5</v>
      </c>
    </row>
    <row r="215" spans="1:16">
      <c r="A215" s="237"/>
      <c r="B215" s="109" t="s">
        <v>98</v>
      </c>
      <c r="C215" s="70" t="s">
        <v>98</v>
      </c>
      <c r="D215" s="70" t="s">
        <v>98</v>
      </c>
      <c r="E215" s="70"/>
      <c r="F215" s="92" t="s">
        <v>98</v>
      </c>
      <c r="G215" s="70" t="s">
        <v>98</v>
      </c>
      <c r="H215" s="70" t="s">
        <v>98</v>
      </c>
      <c r="I215" s="70" t="s">
        <v>98</v>
      </c>
      <c r="J215" s="70" t="s">
        <v>98</v>
      </c>
      <c r="K215" s="70" t="s">
        <v>98</v>
      </c>
      <c r="M215" s="78"/>
    </row>
    <row r="216" spans="1:16" ht="16.5">
      <c r="A216" s="237"/>
      <c r="B216" s="174" t="s">
        <v>647</v>
      </c>
      <c r="C216" s="175">
        <f>K216/F216</f>
        <v>17.938437775816418</v>
      </c>
      <c r="D216" s="175">
        <v>1</v>
      </c>
      <c r="E216" s="176"/>
      <c r="F216" s="177">
        <v>45.32</v>
      </c>
      <c r="G216" s="176" t="s">
        <v>646</v>
      </c>
      <c r="H216" s="176">
        <v>45.32</v>
      </c>
      <c r="I216" s="176" t="s">
        <v>351</v>
      </c>
      <c r="J216" s="446">
        <v>812.97</v>
      </c>
      <c r="K216" s="446">
        <f>J216</f>
        <v>812.97</v>
      </c>
      <c r="L216" s="416">
        <v>45292</v>
      </c>
      <c r="M216" s="139"/>
      <c r="O216" s="78">
        <v>789.29</v>
      </c>
      <c r="P216" s="78">
        <v>789.29</v>
      </c>
    </row>
    <row r="217" spans="1:16">
      <c r="M217" s="78"/>
    </row>
    <row r="218" spans="1:16">
      <c r="A218" s="512" t="s">
        <v>122</v>
      </c>
      <c r="B218" s="203" t="s">
        <v>648</v>
      </c>
      <c r="C218" s="206">
        <f>K218/F218</f>
        <v>6.4132000000000007</v>
      </c>
      <c r="D218" s="207">
        <v>1</v>
      </c>
      <c r="E218" s="207"/>
      <c r="F218" s="208">
        <v>25</v>
      </c>
      <c r="G218" s="207" t="s">
        <v>141</v>
      </c>
      <c r="H218" s="207" t="s">
        <v>98</v>
      </c>
      <c r="I218" s="207" t="s">
        <v>354</v>
      </c>
      <c r="J218" s="447">
        <v>160.33000000000001</v>
      </c>
      <c r="K218" s="447">
        <f>J218</f>
        <v>160.33000000000001</v>
      </c>
      <c r="L218" s="416">
        <v>45292</v>
      </c>
      <c r="M218" s="136"/>
      <c r="O218" s="78">
        <v>158.75</v>
      </c>
      <c r="P218" s="78">
        <v>158.75</v>
      </c>
    </row>
    <row r="219" spans="1:16" s="132" customFormat="1">
      <c r="A219" s="512"/>
      <c r="B219" s="203"/>
      <c r="C219" s="206">
        <v>5.77</v>
      </c>
      <c r="D219" s="207">
        <v>1</v>
      </c>
      <c r="E219" s="207"/>
      <c r="F219" s="208">
        <v>25</v>
      </c>
      <c r="G219" s="207" t="s">
        <v>141</v>
      </c>
      <c r="H219" s="207" t="s">
        <v>98</v>
      </c>
      <c r="I219" s="207" t="s">
        <v>354</v>
      </c>
      <c r="J219" s="448"/>
      <c r="K219" s="449">
        <f>J219</f>
        <v>0</v>
      </c>
      <c r="L219" s="160">
        <v>44927</v>
      </c>
      <c r="M219" s="140"/>
      <c r="O219" s="78">
        <v>152.91</v>
      </c>
      <c r="P219" s="78">
        <v>152.91</v>
      </c>
    </row>
    <row r="220" spans="1:16">
      <c r="A220" s="512"/>
      <c r="B220" s="203" t="s">
        <v>649</v>
      </c>
      <c r="C220" s="206">
        <f t="shared" ref="C220:C236" si="21">K220/F220</f>
        <v>6.8075999999999999</v>
      </c>
      <c r="D220" s="207">
        <v>1</v>
      </c>
      <c r="E220" s="207"/>
      <c r="F220" s="208">
        <v>25</v>
      </c>
      <c r="G220" s="207" t="s">
        <v>141</v>
      </c>
      <c r="H220" s="207" t="s">
        <v>98</v>
      </c>
      <c r="I220" s="207" t="s">
        <v>354</v>
      </c>
      <c r="J220" s="447">
        <v>170.19</v>
      </c>
      <c r="K220" s="447">
        <f t="shared" ref="K220:K236" si="22">J220</f>
        <v>170.19</v>
      </c>
      <c r="L220" s="416">
        <v>45292</v>
      </c>
      <c r="M220" s="136"/>
      <c r="O220" s="78">
        <v>168.51</v>
      </c>
      <c r="P220" s="78">
        <v>168.51</v>
      </c>
    </row>
    <row r="221" spans="1:16" s="132" customFormat="1">
      <c r="A221" s="512"/>
      <c r="B221" s="203"/>
      <c r="C221" s="206">
        <v>6.47</v>
      </c>
      <c r="D221" s="207">
        <v>1</v>
      </c>
      <c r="E221" s="207"/>
      <c r="F221" s="208">
        <v>25</v>
      </c>
      <c r="G221" s="207" t="s">
        <v>141</v>
      </c>
      <c r="H221" s="207" t="s">
        <v>98</v>
      </c>
      <c r="I221" s="207" t="s">
        <v>354</v>
      </c>
      <c r="J221" s="448"/>
      <c r="K221" s="448">
        <f t="shared" si="22"/>
        <v>0</v>
      </c>
      <c r="L221" s="160">
        <v>44927</v>
      </c>
      <c r="M221" s="140"/>
      <c r="O221" s="78">
        <v>171.62</v>
      </c>
      <c r="P221" s="78">
        <v>171.62</v>
      </c>
    </row>
    <row r="222" spans="1:16">
      <c r="A222" s="512"/>
      <c r="B222" s="203" t="s">
        <v>650</v>
      </c>
      <c r="C222" s="206">
        <f t="shared" si="21"/>
        <v>7.5515999999999996</v>
      </c>
      <c r="D222" s="207">
        <v>1</v>
      </c>
      <c r="E222" s="207"/>
      <c r="F222" s="208">
        <v>25</v>
      </c>
      <c r="G222" s="207" t="s">
        <v>141</v>
      </c>
      <c r="H222" s="207" t="s">
        <v>98</v>
      </c>
      <c r="I222" s="207" t="s">
        <v>354</v>
      </c>
      <c r="J222" s="447">
        <v>188.79</v>
      </c>
      <c r="K222" s="450">
        <f t="shared" si="22"/>
        <v>188.79</v>
      </c>
      <c r="L222" s="416">
        <v>45292</v>
      </c>
      <c r="M222" s="136"/>
      <c r="O222" s="78">
        <v>188.79</v>
      </c>
      <c r="P222" s="78">
        <v>188.79</v>
      </c>
    </row>
    <row r="223" spans="1:16" s="132" customFormat="1">
      <c r="A223" s="512"/>
      <c r="B223" s="203"/>
      <c r="C223" s="206">
        <v>7.94</v>
      </c>
      <c r="D223" s="207">
        <v>1</v>
      </c>
      <c r="E223" s="207"/>
      <c r="F223" s="208">
        <v>25</v>
      </c>
      <c r="G223" s="207" t="s">
        <v>141</v>
      </c>
      <c r="H223" s="207" t="s">
        <v>98</v>
      </c>
      <c r="I223" s="207" t="s">
        <v>354</v>
      </c>
      <c r="J223" s="448"/>
      <c r="K223" s="448">
        <f t="shared" si="22"/>
        <v>0</v>
      </c>
      <c r="L223" s="160">
        <v>44927</v>
      </c>
      <c r="M223" s="140"/>
      <c r="O223" s="78">
        <v>210.62</v>
      </c>
      <c r="P223" s="78">
        <v>210.62</v>
      </c>
    </row>
    <row r="224" spans="1:16">
      <c r="A224" s="512"/>
      <c r="B224" s="203" t="s">
        <v>651</v>
      </c>
      <c r="C224" s="206">
        <f t="shared" si="21"/>
        <v>10.053599999999999</v>
      </c>
      <c r="D224" s="207">
        <v>1</v>
      </c>
      <c r="E224" s="207"/>
      <c r="F224" s="208">
        <v>25</v>
      </c>
      <c r="G224" s="207" t="s">
        <v>141</v>
      </c>
      <c r="H224" s="207" t="s">
        <v>98</v>
      </c>
      <c r="I224" s="207" t="s">
        <v>354</v>
      </c>
      <c r="J224" s="450">
        <v>251.34</v>
      </c>
      <c r="K224" s="450">
        <f t="shared" si="22"/>
        <v>251.34</v>
      </c>
      <c r="L224" s="416">
        <v>45292</v>
      </c>
      <c r="M224" s="136"/>
      <c r="O224" s="78">
        <v>248.86</v>
      </c>
      <c r="P224" s="78">
        <v>248.86</v>
      </c>
    </row>
    <row r="225" spans="1:16" s="132" customFormat="1">
      <c r="A225" s="512"/>
      <c r="B225" s="203"/>
      <c r="C225" s="206">
        <v>8.24</v>
      </c>
      <c r="D225" s="207">
        <v>1</v>
      </c>
      <c r="E225" s="207"/>
      <c r="F225" s="208">
        <v>15</v>
      </c>
      <c r="G225" s="207" t="s">
        <v>141</v>
      </c>
      <c r="H225" s="207" t="s">
        <v>98</v>
      </c>
      <c r="I225" s="207" t="s">
        <v>354</v>
      </c>
      <c r="J225" s="448"/>
      <c r="K225" s="448">
        <f t="shared" si="22"/>
        <v>0</v>
      </c>
      <c r="L225" s="160">
        <v>44927</v>
      </c>
      <c r="M225" s="140"/>
      <c r="O225" s="78">
        <v>218.42</v>
      </c>
      <c r="P225" s="78">
        <v>218.42</v>
      </c>
    </row>
    <row r="226" spans="1:16">
      <c r="A226" s="512"/>
      <c r="B226" s="203" t="s">
        <v>652</v>
      </c>
      <c r="C226" s="206">
        <f t="shared" si="21"/>
        <v>11.597333333333333</v>
      </c>
      <c r="D226" s="207">
        <v>1</v>
      </c>
      <c r="E226" s="207"/>
      <c r="F226" s="208">
        <v>15</v>
      </c>
      <c r="G226" s="207" t="s">
        <v>141</v>
      </c>
      <c r="H226" s="207" t="s">
        <v>98</v>
      </c>
      <c r="I226" s="207" t="s">
        <v>354</v>
      </c>
      <c r="J226" s="450">
        <v>173.96</v>
      </c>
      <c r="K226" s="450">
        <f t="shared" si="22"/>
        <v>173.96</v>
      </c>
      <c r="L226" s="416">
        <v>45292</v>
      </c>
      <c r="M226" s="136"/>
      <c r="O226" s="78">
        <v>172.24</v>
      </c>
      <c r="P226" s="78">
        <v>172.24</v>
      </c>
    </row>
    <row r="227" spans="1:16" s="132" customFormat="1">
      <c r="A227" s="512"/>
      <c r="B227" s="203"/>
      <c r="C227" s="206">
        <v>10.83</v>
      </c>
      <c r="D227" s="207">
        <v>1</v>
      </c>
      <c r="E227" s="207"/>
      <c r="F227" s="208">
        <v>15</v>
      </c>
      <c r="G227" s="207" t="s">
        <v>141</v>
      </c>
      <c r="H227" s="207" t="s">
        <v>98</v>
      </c>
      <c r="I227" s="207" t="s">
        <v>354</v>
      </c>
      <c r="J227" s="448"/>
      <c r="K227" s="448">
        <f t="shared" si="22"/>
        <v>0</v>
      </c>
      <c r="L227" s="160">
        <v>44927</v>
      </c>
      <c r="M227" s="140"/>
      <c r="O227" s="78">
        <v>218.42</v>
      </c>
      <c r="P227" s="78">
        <v>218.42</v>
      </c>
    </row>
    <row r="228" spans="1:16">
      <c r="A228" s="512"/>
      <c r="B228" s="203" t="s">
        <v>653</v>
      </c>
      <c r="C228" s="206">
        <f t="shared" si="21"/>
        <v>12.764666666666667</v>
      </c>
      <c r="D228" s="207">
        <v>1</v>
      </c>
      <c r="E228" s="207"/>
      <c r="F228" s="208">
        <v>15</v>
      </c>
      <c r="G228" s="207" t="s">
        <v>141</v>
      </c>
      <c r="H228" s="207" t="s">
        <v>98</v>
      </c>
      <c r="I228" s="207" t="s">
        <v>354</v>
      </c>
      <c r="J228" s="450">
        <v>191.47</v>
      </c>
      <c r="K228" s="450">
        <f t="shared" si="22"/>
        <v>191.47</v>
      </c>
      <c r="L228" s="416">
        <v>45292</v>
      </c>
      <c r="M228" s="136"/>
      <c r="O228" s="78">
        <v>189.57</v>
      </c>
      <c r="P228" s="78">
        <v>189.57</v>
      </c>
    </row>
    <row r="229" spans="1:16" s="132" customFormat="1">
      <c r="A229" s="512"/>
      <c r="B229" s="203"/>
      <c r="C229" s="206">
        <v>13.73</v>
      </c>
      <c r="D229" s="207">
        <v>1</v>
      </c>
      <c r="E229" s="207"/>
      <c r="F229" s="208">
        <v>15</v>
      </c>
      <c r="G229" s="207" t="s">
        <v>141</v>
      </c>
      <c r="H229" s="207" t="s">
        <v>98</v>
      </c>
      <c r="I229" s="207" t="s">
        <v>354</v>
      </c>
      <c r="J229" s="448"/>
      <c r="K229" s="448">
        <f t="shared" si="22"/>
        <v>0</v>
      </c>
      <c r="L229" s="160">
        <v>44927</v>
      </c>
      <c r="M229" s="140"/>
      <c r="O229" s="78">
        <v>218.42</v>
      </c>
      <c r="P229" s="78">
        <v>218.42</v>
      </c>
    </row>
    <row r="230" spans="1:16">
      <c r="A230" s="512"/>
      <c r="B230" s="203" t="s">
        <v>654</v>
      </c>
      <c r="C230" s="206">
        <f t="shared" si="21"/>
        <v>14.45</v>
      </c>
      <c r="D230" s="207">
        <v>1</v>
      </c>
      <c r="E230" s="207"/>
      <c r="F230" s="208">
        <v>15</v>
      </c>
      <c r="G230" s="207" t="s">
        <v>141</v>
      </c>
      <c r="H230" s="207" t="s">
        <v>98</v>
      </c>
      <c r="I230" s="207" t="s">
        <v>354</v>
      </c>
      <c r="J230" s="450">
        <v>216.75</v>
      </c>
      <c r="K230" s="450">
        <f t="shared" si="22"/>
        <v>216.75</v>
      </c>
      <c r="L230" s="416">
        <v>45292</v>
      </c>
      <c r="M230" s="136"/>
      <c r="O230" s="78">
        <v>214.61</v>
      </c>
      <c r="P230" s="78">
        <v>214.61</v>
      </c>
    </row>
    <row r="231" spans="1:16" s="132" customFormat="1">
      <c r="A231" s="512"/>
      <c r="B231" s="203"/>
      <c r="C231" s="206">
        <v>15.2</v>
      </c>
      <c r="D231" s="207">
        <v>1</v>
      </c>
      <c r="E231" s="207"/>
      <c r="F231" s="208">
        <v>15</v>
      </c>
      <c r="G231" s="207" t="s">
        <v>141</v>
      </c>
      <c r="H231" s="207" t="s">
        <v>98</v>
      </c>
      <c r="I231" s="207" t="s">
        <v>354</v>
      </c>
      <c r="J231" s="448"/>
      <c r="K231" s="448">
        <f t="shared" si="22"/>
        <v>0</v>
      </c>
      <c r="L231" s="160">
        <v>44927</v>
      </c>
      <c r="M231" s="140"/>
      <c r="O231" s="78">
        <v>241.83</v>
      </c>
      <c r="P231" s="78">
        <v>241.83</v>
      </c>
    </row>
    <row r="232" spans="1:16">
      <c r="A232" s="512"/>
      <c r="B232" s="203" t="s">
        <v>655</v>
      </c>
      <c r="C232" s="206">
        <f t="shared" si="21"/>
        <v>18.77</v>
      </c>
      <c r="D232" s="207">
        <v>1</v>
      </c>
      <c r="E232" s="207"/>
      <c r="F232" s="208">
        <v>15</v>
      </c>
      <c r="G232" s="207" t="s">
        <v>141</v>
      </c>
      <c r="H232" s="207" t="s">
        <v>98</v>
      </c>
      <c r="I232" s="207" t="s">
        <v>354</v>
      </c>
      <c r="J232" s="450">
        <v>281.55</v>
      </c>
      <c r="K232" s="450">
        <f t="shared" si="22"/>
        <v>281.55</v>
      </c>
      <c r="L232" s="416">
        <v>45292</v>
      </c>
      <c r="M232" s="136"/>
      <c r="O232" s="78">
        <v>281.55</v>
      </c>
      <c r="P232" s="78">
        <v>281.55</v>
      </c>
    </row>
    <row r="233" spans="1:16" s="132" customFormat="1">
      <c r="A233" s="512"/>
      <c r="B233" s="203"/>
      <c r="C233" s="206">
        <v>15.2</v>
      </c>
      <c r="D233" s="207">
        <v>1</v>
      </c>
      <c r="E233" s="207"/>
      <c r="F233" s="208">
        <v>15</v>
      </c>
      <c r="G233" s="207" t="s">
        <v>141</v>
      </c>
      <c r="H233" s="207" t="s">
        <v>98</v>
      </c>
      <c r="I233" s="207" t="s">
        <v>354</v>
      </c>
      <c r="J233" s="448"/>
      <c r="K233" s="448">
        <f t="shared" si="22"/>
        <v>0</v>
      </c>
      <c r="L233" s="160">
        <v>44927</v>
      </c>
      <c r="M233" s="140"/>
      <c r="O233" s="78">
        <v>241.83</v>
      </c>
      <c r="P233" s="78">
        <v>241.83</v>
      </c>
    </row>
    <row r="234" spans="1:16">
      <c r="A234" s="512"/>
      <c r="B234" s="203" t="s">
        <v>656</v>
      </c>
      <c r="C234" s="206">
        <f t="shared" si="21"/>
        <v>23.512</v>
      </c>
      <c r="D234" s="207">
        <v>1</v>
      </c>
      <c r="E234" s="207"/>
      <c r="F234" s="208">
        <v>15</v>
      </c>
      <c r="G234" s="207" t="s">
        <v>141</v>
      </c>
      <c r="H234" s="207" t="s">
        <v>98</v>
      </c>
      <c r="I234" s="207" t="s">
        <v>354</v>
      </c>
      <c r="J234" s="450">
        <v>352.68</v>
      </c>
      <c r="K234" s="450">
        <f t="shared" si="22"/>
        <v>352.68</v>
      </c>
      <c r="L234" s="416">
        <v>45292</v>
      </c>
      <c r="M234" s="136"/>
      <c r="O234" s="78">
        <v>349.19</v>
      </c>
      <c r="P234" s="78">
        <v>349.19</v>
      </c>
    </row>
    <row r="235" spans="1:16">
      <c r="A235" s="512"/>
      <c r="B235" s="203" t="s">
        <v>657</v>
      </c>
      <c r="C235" s="206">
        <f t="shared" si="21"/>
        <v>14.409666666666668</v>
      </c>
      <c r="D235" s="207">
        <v>1</v>
      </c>
      <c r="E235" s="207"/>
      <c r="F235" s="208">
        <v>30</v>
      </c>
      <c r="G235" s="207" t="s">
        <v>141</v>
      </c>
      <c r="H235" s="207" t="s">
        <v>98</v>
      </c>
      <c r="I235" s="207" t="s">
        <v>354</v>
      </c>
      <c r="J235" s="447">
        <v>432.29</v>
      </c>
      <c r="K235" s="450">
        <f t="shared" si="22"/>
        <v>432.29</v>
      </c>
      <c r="L235" s="416">
        <v>45292</v>
      </c>
      <c r="M235" s="136"/>
      <c r="O235" s="78">
        <v>428.01</v>
      </c>
      <c r="P235" s="78">
        <v>428.01</v>
      </c>
    </row>
    <row r="236" spans="1:16">
      <c r="A236" s="512"/>
      <c r="B236" s="203" t="s">
        <v>658</v>
      </c>
      <c r="C236" s="206">
        <f t="shared" si="21"/>
        <v>11.33</v>
      </c>
      <c r="D236" s="207">
        <v>1</v>
      </c>
      <c r="E236" s="207"/>
      <c r="F236" s="208">
        <v>30</v>
      </c>
      <c r="G236" s="207" t="s">
        <v>141</v>
      </c>
      <c r="H236" s="207" t="s">
        <v>98</v>
      </c>
      <c r="I236" s="207" t="s">
        <v>351</v>
      </c>
      <c r="J236" s="447">
        <v>339.9</v>
      </c>
      <c r="K236" s="450">
        <f t="shared" si="22"/>
        <v>339.9</v>
      </c>
      <c r="L236" s="416">
        <v>45292</v>
      </c>
      <c r="M236" s="136"/>
      <c r="O236" s="78">
        <v>336.54</v>
      </c>
      <c r="P236" s="78">
        <v>336.54</v>
      </c>
    </row>
    <row r="237" spans="1:16">
      <c r="A237" s="512"/>
      <c r="B237" s="119" t="s">
        <v>359</v>
      </c>
      <c r="C237" s="120" t="s">
        <v>98</v>
      </c>
      <c r="D237" s="120" t="s">
        <v>98</v>
      </c>
      <c r="E237" s="120"/>
      <c r="F237" s="121" t="s">
        <v>98</v>
      </c>
      <c r="G237" s="120" t="s">
        <v>98</v>
      </c>
      <c r="H237" s="120" t="s">
        <v>98</v>
      </c>
      <c r="I237" s="120" t="s">
        <v>98</v>
      </c>
      <c r="J237" s="131" t="str">
        <f t="shared" ref="J237:J252" si="23">I237</f>
        <v>-</v>
      </c>
      <c r="K237" s="120" t="s">
        <v>98</v>
      </c>
      <c r="M237" s="137"/>
      <c r="O237" s="78" t="s">
        <v>98</v>
      </c>
      <c r="P237" s="78" t="s">
        <v>98</v>
      </c>
    </row>
    <row r="238" spans="1:16">
      <c r="A238" s="512"/>
      <c r="B238" s="203" t="s">
        <v>659</v>
      </c>
      <c r="C238" s="206">
        <f t="shared" ref="C238:C251" si="24">K238/F238</f>
        <v>17.3964</v>
      </c>
      <c r="D238" s="207">
        <v>1</v>
      </c>
      <c r="E238" s="207"/>
      <c r="F238" s="208">
        <v>25</v>
      </c>
      <c r="G238" s="207" t="s">
        <v>141</v>
      </c>
      <c r="H238" s="207" t="s">
        <v>98</v>
      </c>
      <c r="I238" s="207" t="s">
        <v>351</v>
      </c>
      <c r="J238" s="447">
        <v>434.91</v>
      </c>
      <c r="K238" s="447">
        <f>J238</f>
        <v>434.91</v>
      </c>
      <c r="L238" s="416">
        <v>45292</v>
      </c>
      <c r="M238" s="136"/>
      <c r="O238" s="78">
        <v>430.60380000000004</v>
      </c>
      <c r="P238" s="78">
        <v>430.60380000000004</v>
      </c>
    </row>
    <row r="239" spans="1:16">
      <c r="A239" s="512"/>
      <c r="B239" s="203" t="s">
        <v>660</v>
      </c>
      <c r="C239" s="206">
        <f t="shared" si="24"/>
        <v>17.3964</v>
      </c>
      <c r="D239" s="207">
        <v>1</v>
      </c>
      <c r="E239" s="207"/>
      <c r="F239" s="208">
        <v>25</v>
      </c>
      <c r="G239" s="207" t="s">
        <v>141</v>
      </c>
      <c r="H239" s="207" t="s">
        <v>98</v>
      </c>
      <c r="I239" s="207" t="s">
        <v>351</v>
      </c>
      <c r="J239" s="447">
        <v>434.91</v>
      </c>
      <c r="K239" s="447">
        <f t="shared" ref="K239:K241" si="25">J239</f>
        <v>434.91</v>
      </c>
      <c r="L239" s="416">
        <v>45292</v>
      </c>
      <c r="M239" s="136"/>
      <c r="O239" s="78">
        <v>430.60380000000004</v>
      </c>
      <c r="P239" s="78">
        <v>430.60380000000004</v>
      </c>
    </row>
    <row r="240" spans="1:16">
      <c r="A240" s="512"/>
      <c r="B240" s="203" t="s">
        <v>661</v>
      </c>
      <c r="C240" s="206">
        <f t="shared" si="24"/>
        <v>20.6112</v>
      </c>
      <c r="D240" s="207">
        <v>1</v>
      </c>
      <c r="E240" s="207"/>
      <c r="F240" s="208">
        <v>25</v>
      </c>
      <c r="G240" s="207" t="s">
        <v>141</v>
      </c>
      <c r="H240" s="207" t="s">
        <v>98</v>
      </c>
      <c r="I240" s="207" t="s">
        <v>351</v>
      </c>
      <c r="J240" s="447">
        <v>515.28</v>
      </c>
      <c r="K240" s="447">
        <f t="shared" si="25"/>
        <v>515.28</v>
      </c>
      <c r="L240" s="416">
        <v>45292</v>
      </c>
      <c r="M240" s="136"/>
      <c r="O240" s="78">
        <v>510.17800000000005</v>
      </c>
      <c r="P240" s="78">
        <v>510.17800000000005</v>
      </c>
    </row>
    <row r="241" spans="1:16">
      <c r="A241" s="512"/>
      <c r="B241" s="203" t="s">
        <v>662</v>
      </c>
      <c r="C241" s="206">
        <f t="shared" si="24"/>
        <v>20.6112</v>
      </c>
      <c r="D241" s="207">
        <v>1</v>
      </c>
      <c r="E241" s="207"/>
      <c r="F241" s="208">
        <v>25</v>
      </c>
      <c r="G241" s="207" t="s">
        <v>141</v>
      </c>
      <c r="H241" s="207" t="s">
        <v>98</v>
      </c>
      <c r="I241" s="207" t="s">
        <v>351</v>
      </c>
      <c r="J241" s="447">
        <v>515.28</v>
      </c>
      <c r="K241" s="447">
        <f t="shared" si="25"/>
        <v>515.28</v>
      </c>
      <c r="L241" s="416">
        <v>45292</v>
      </c>
      <c r="M241" s="136"/>
      <c r="O241" s="78">
        <v>510.17800000000005</v>
      </c>
      <c r="P241" s="78">
        <v>510.17800000000005</v>
      </c>
    </row>
    <row r="242" spans="1:16">
      <c r="A242" s="512"/>
      <c r="B242" s="203" t="s">
        <v>663</v>
      </c>
      <c r="C242" s="206">
        <f t="shared" si="24"/>
        <v>6.1349333333333336</v>
      </c>
      <c r="D242" s="207">
        <v>1</v>
      </c>
      <c r="E242" s="207"/>
      <c r="F242" s="208">
        <v>37.5</v>
      </c>
      <c r="G242" s="207" t="s">
        <v>141</v>
      </c>
      <c r="H242" s="207" t="s">
        <v>98</v>
      </c>
      <c r="I242" s="207" t="s">
        <v>351</v>
      </c>
      <c r="J242" s="447">
        <v>230.06</v>
      </c>
      <c r="K242" s="447">
        <f>J242</f>
        <v>230.06</v>
      </c>
      <c r="L242" s="416">
        <v>45292</v>
      </c>
      <c r="M242" s="136"/>
      <c r="O242" s="78">
        <v>227.78</v>
      </c>
      <c r="P242" s="78">
        <v>227.78</v>
      </c>
    </row>
    <row r="243" spans="1:16">
      <c r="A243" s="512"/>
      <c r="B243" s="203" t="s">
        <v>664</v>
      </c>
      <c r="C243" s="206">
        <f t="shared" si="24"/>
        <v>1.9292799999999999</v>
      </c>
      <c r="D243" s="207">
        <v>1</v>
      </c>
      <c r="E243" s="207"/>
      <c r="F243" s="208">
        <v>125</v>
      </c>
      <c r="G243" s="207" t="s">
        <v>141</v>
      </c>
      <c r="H243" s="207" t="s">
        <v>98</v>
      </c>
      <c r="I243" s="207" t="s">
        <v>351</v>
      </c>
      <c r="J243" s="447">
        <v>241.16</v>
      </c>
      <c r="K243" s="447">
        <f t="shared" ref="K243:K256" si="26">J243</f>
        <v>241.16</v>
      </c>
      <c r="L243" s="416">
        <v>45292</v>
      </c>
      <c r="M243" s="136"/>
      <c r="O243" s="78">
        <v>238.78</v>
      </c>
      <c r="P243" s="78">
        <v>238.78</v>
      </c>
    </row>
    <row r="244" spans="1:16">
      <c r="A244" s="512"/>
      <c r="B244" s="203" t="s">
        <v>665</v>
      </c>
      <c r="C244" s="206">
        <f t="shared" si="24"/>
        <v>4.8685999999999998</v>
      </c>
      <c r="D244" s="207">
        <v>1</v>
      </c>
      <c r="E244" s="207"/>
      <c r="F244" s="208">
        <v>50</v>
      </c>
      <c r="G244" s="207" t="s">
        <v>141</v>
      </c>
      <c r="H244" s="207" t="s">
        <v>98</v>
      </c>
      <c r="I244" s="207" t="s">
        <v>351</v>
      </c>
      <c r="J244" s="447">
        <v>243.43</v>
      </c>
      <c r="K244" s="447">
        <f t="shared" si="26"/>
        <v>243.43</v>
      </c>
      <c r="L244" s="416">
        <v>45292</v>
      </c>
      <c r="M244" s="136"/>
      <c r="O244" s="78">
        <v>241.02</v>
      </c>
      <c r="P244" s="78">
        <v>241.02</v>
      </c>
    </row>
    <row r="245" spans="1:16">
      <c r="A245" s="512"/>
      <c r="B245" s="203" t="s">
        <v>666</v>
      </c>
      <c r="C245" s="206">
        <f t="shared" si="24"/>
        <v>7.6571199999999999</v>
      </c>
      <c r="D245" s="207">
        <v>1</v>
      </c>
      <c r="E245" s="207"/>
      <c r="F245" s="208">
        <v>62.5</v>
      </c>
      <c r="G245" s="207" t="s">
        <v>141</v>
      </c>
      <c r="H245" s="207" t="s">
        <v>98</v>
      </c>
      <c r="I245" s="207" t="s">
        <v>351</v>
      </c>
      <c r="J245" s="447">
        <v>478.57</v>
      </c>
      <c r="K245" s="447">
        <f t="shared" si="26"/>
        <v>478.57</v>
      </c>
      <c r="L245" s="416">
        <v>45292</v>
      </c>
      <c r="M245" s="136"/>
      <c r="O245" s="78">
        <v>473.8306</v>
      </c>
      <c r="P245" s="78">
        <v>473.8306</v>
      </c>
    </row>
    <row r="246" spans="1:16">
      <c r="A246" s="512"/>
      <c r="B246" s="203" t="s">
        <v>667</v>
      </c>
      <c r="C246" s="206">
        <f t="shared" si="24"/>
        <v>11.124000000000001</v>
      </c>
      <c r="D246" s="207">
        <v>1</v>
      </c>
      <c r="E246" s="207"/>
      <c r="F246" s="208">
        <v>62.5</v>
      </c>
      <c r="G246" s="207" t="s">
        <v>141</v>
      </c>
      <c r="H246" s="207" t="s">
        <v>98</v>
      </c>
      <c r="I246" s="207" t="s">
        <v>351</v>
      </c>
      <c r="J246" s="447">
        <v>695.25</v>
      </c>
      <c r="K246" s="447">
        <f t="shared" si="26"/>
        <v>695.25</v>
      </c>
      <c r="L246" s="416">
        <v>45292</v>
      </c>
      <c r="M246" s="136"/>
      <c r="O246" s="78">
        <v>688.36400000000003</v>
      </c>
      <c r="P246" s="78">
        <v>688.36400000000003</v>
      </c>
    </row>
    <row r="247" spans="1:16">
      <c r="A247" s="512"/>
      <c r="B247" s="203" t="s">
        <v>984</v>
      </c>
      <c r="C247" s="206">
        <f t="shared" si="24"/>
        <v>31.653454545454547</v>
      </c>
      <c r="D247" s="207">
        <v>1</v>
      </c>
      <c r="E247" s="207"/>
      <c r="F247" s="208">
        <v>27.5</v>
      </c>
      <c r="G247" s="207" t="s">
        <v>141</v>
      </c>
      <c r="H247" s="207" t="s">
        <v>98</v>
      </c>
      <c r="I247" s="207" t="s">
        <v>351</v>
      </c>
      <c r="J247" s="447">
        <v>870.47</v>
      </c>
      <c r="K247" s="447">
        <f t="shared" si="26"/>
        <v>870.47</v>
      </c>
      <c r="L247" s="416">
        <v>45292</v>
      </c>
      <c r="M247" s="136"/>
      <c r="O247" s="78">
        <v>861.85420000000011</v>
      </c>
      <c r="P247" s="78">
        <v>861.85420000000011</v>
      </c>
    </row>
    <row r="248" spans="1:16">
      <c r="A248" s="512"/>
      <c r="B248" s="203" t="s">
        <v>669</v>
      </c>
      <c r="C248" s="206">
        <f>K248/F248</f>
        <v>26.5564</v>
      </c>
      <c r="D248" s="207">
        <v>1</v>
      </c>
      <c r="E248" s="207"/>
      <c r="F248" s="208">
        <v>25</v>
      </c>
      <c r="G248" s="207" t="s">
        <v>141</v>
      </c>
      <c r="H248" s="207" t="s">
        <v>98</v>
      </c>
      <c r="I248" s="207" t="s">
        <v>351</v>
      </c>
      <c r="J248" s="447">
        <v>663.91</v>
      </c>
      <c r="K248" s="447">
        <f t="shared" si="26"/>
        <v>663.91</v>
      </c>
      <c r="L248" s="416">
        <v>45292</v>
      </c>
      <c r="M248" s="141"/>
      <c r="O248" s="78">
        <v>657.33780000000002</v>
      </c>
      <c r="P248" s="78">
        <v>657.33780000000002</v>
      </c>
    </row>
    <row r="249" spans="1:16">
      <c r="A249" s="512"/>
      <c r="B249" s="203" t="s">
        <v>670</v>
      </c>
      <c r="C249" s="206">
        <f t="shared" si="24"/>
        <v>4.5525000000000002</v>
      </c>
      <c r="D249" s="207">
        <v>1</v>
      </c>
      <c r="E249" s="207"/>
      <c r="F249" s="208">
        <v>40</v>
      </c>
      <c r="G249" s="207" t="s">
        <v>141</v>
      </c>
      <c r="H249" s="207" t="s">
        <v>98</v>
      </c>
      <c r="I249" s="207" t="s">
        <v>351</v>
      </c>
      <c r="J249" s="447">
        <v>182.1</v>
      </c>
      <c r="K249" s="447">
        <f t="shared" si="26"/>
        <v>182.1</v>
      </c>
      <c r="L249" s="416">
        <v>45292</v>
      </c>
      <c r="M249" s="136"/>
      <c r="O249" s="78">
        <v>180.2954</v>
      </c>
      <c r="P249" s="78">
        <v>180.2954</v>
      </c>
    </row>
    <row r="250" spans="1:16">
      <c r="A250" s="512"/>
      <c r="B250" s="203" t="s">
        <v>671</v>
      </c>
      <c r="C250" s="206">
        <f t="shared" si="24"/>
        <v>4.9588461538461539</v>
      </c>
      <c r="D250" s="207">
        <v>1</v>
      </c>
      <c r="E250" s="207"/>
      <c r="F250" s="208">
        <v>130</v>
      </c>
      <c r="G250" s="207" t="s">
        <v>141</v>
      </c>
      <c r="H250" s="207" t="s">
        <v>98</v>
      </c>
      <c r="I250" s="207" t="s">
        <v>351</v>
      </c>
      <c r="J250" s="447">
        <v>644.65</v>
      </c>
      <c r="K250" s="447">
        <f t="shared" si="26"/>
        <v>644.65</v>
      </c>
      <c r="L250" s="416">
        <v>45292</v>
      </c>
      <c r="M250" s="136"/>
      <c r="O250" s="78">
        <v>638.26840000000004</v>
      </c>
      <c r="P250" s="78">
        <v>638.26840000000004</v>
      </c>
    </row>
    <row r="251" spans="1:16">
      <c r="A251" s="512"/>
      <c r="B251" s="203" t="s">
        <v>672</v>
      </c>
      <c r="C251" s="206">
        <f t="shared" si="24"/>
        <v>4.9740799999999998</v>
      </c>
      <c r="D251" s="207">
        <v>1</v>
      </c>
      <c r="E251" s="207"/>
      <c r="F251" s="208">
        <v>125</v>
      </c>
      <c r="G251" s="207" t="s">
        <v>141</v>
      </c>
      <c r="H251" s="207" t="s">
        <v>98</v>
      </c>
      <c r="I251" s="207" t="s">
        <v>351</v>
      </c>
      <c r="J251" s="447">
        <v>621.76</v>
      </c>
      <c r="K251" s="447">
        <f t="shared" si="26"/>
        <v>621.76</v>
      </c>
      <c r="L251" s="416">
        <v>45292</v>
      </c>
      <c r="M251" s="136"/>
      <c r="O251" s="78">
        <v>615.60559999999998</v>
      </c>
      <c r="P251" s="78">
        <v>615.60559999999998</v>
      </c>
    </row>
    <row r="252" spans="1:16">
      <c r="A252" s="512"/>
      <c r="B252" s="110" t="s">
        <v>98</v>
      </c>
      <c r="C252" s="71" t="s">
        <v>98</v>
      </c>
      <c r="D252" s="71" t="s">
        <v>98</v>
      </c>
      <c r="E252" s="71"/>
      <c r="F252" s="93" t="s">
        <v>98</v>
      </c>
      <c r="G252" s="71" t="s">
        <v>98</v>
      </c>
      <c r="H252" s="71" t="s">
        <v>98</v>
      </c>
      <c r="I252" s="71" t="s">
        <v>98</v>
      </c>
      <c r="J252" s="131" t="str">
        <f t="shared" si="23"/>
        <v>-</v>
      </c>
      <c r="K252" s="71" t="s">
        <v>98</v>
      </c>
      <c r="M252" s="78"/>
      <c r="O252" s="78" t="s">
        <v>98</v>
      </c>
      <c r="P252" s="78" t="s">
        <v>98</v>
      </c>
    </row>
    <row r="253" spans="1:16">
      <c r="A253" s="512"/>
      <c r="B253" s="203" t="s">
        <v>673</v>
      </c>
      <c r="C253" s="206">
        <f>K253/F253</f>
        <v>10.873199999999999</v>
      </c>
      <c r="D253" s="207">
        <v>1</v>
      </c>
      <c r="E253" s="207"/>
      <c r="F253" s="208">
        <v>25</v>
      </c>
      <c r="G253" s="207" t="s">
        <v>141</v>
      </c>
      <c r="H253" s="207" t="s">
        <v>98</v>
      </c>
      <c r="I253" s="207" t="s">
        <v>351</v>
      </c>
      <c r="J253" s="447">
        <v>271.83</v>
      </c>
      <c r="K253" s="447">
        <f t="shared" si="26"/>
        <v>271.83</v>
      </c>
      <c r="L253" s="416">
        <v>45292</v>
      </c>
      <c r="M253" s="136"/>
      <c r="O253" s="78">
        <v>269.13400000000001</v>
      </c>
      <c r="P253" s="78">
        <v>269.13400000000001</v>
      </c>
    </row>
    <row r="254" spans="1:16">
      <c r="A254" s="512"/>
      <c r="B254" s="203" t="s">
        <v>674</v>
      </c>
      <c r="C254" s="206">
        <f>K254/F254</f>
        <v>12.480799999999999</v>
      </c>
      <c r="D254" s="207">
        <v>1</v>
      </c>
      <c r="E254" s="207"/>
      <c r="F254" s="208">
        <v>25</v>
      </c>
      <c r="G254" s="207" t="s">
        <v>141</v>
      </c>
      <c r="H254" s="207" t="s">
        <v>98</v>
      </c>
      <c r="I254" s="207" t="s">
        <v>351</v>
      </c>
      <c r="J254" s="447">
        <v>312.02</v>
      </c>
      <c r="K254" s="447">
        <f t="shared" si="26"/>
        <v>312.02</v>
      </c>
      <c r="L254" s="416">
        <v>45292</v>
      </c>
      <c r="M254" s="136"/>
      <c r="O254" s="78">
        <v>308.9264</v>
      </c>
      <c r="P254" s="78">
        <v>308.9264</v>
      </c>
    </row>
    <row r="255" spans="1:16">
      <c r="A255" s="512"/>
      <c r="B255" s="203" t="s">
        <v>675</v>
      </c>
      <c r="C255" s="206">
        <f>K255/F255</f>
        <v>13.3</v>
      </c>
      <c r="D255" s="207">
        <v>1</v>
      </c>
      <c r="E255" s="207"/>
      <c r="F255" s="208">
        <v>25</v>
      </c>
      <c r="G255" s="207" t="s">
        <v>141</v>
      </c>
      <c r="H255" s="207" t="s">
        <v>98</v>
      </c>
      <c r="I255" s="207" t="s">
        <v>351</v>
      </c>
      <c r="J255" s="447">
        <v>332.5</v>
      </c>
      <c r="K255" s="447">
        <f t="shared" si="26"/>
        <v>332.5</v>
      </c>
      <c r="L255" s="416">
        <v>45292</v>
      </c>
      <c r="M255" s="136"/>
      <c r="O255" s="78">
        <v>329.20420000000001</v>
      </c>
      <c r="P255" s="78">
        <v>329.20420000000001</v>
      </c>
    </row>
    <row r="256" spans="1:16">
      <c r="A256" s="512"/>
      <c r="B256" s="203" t="s">
        <v>676</v>
      </c>
      <c r="C256" s="206">
        <f>K256/F256</f>
        <v>14.9224</v>
      </c>
      <c r="D256" s="207">
        <v>1</v>
      </c>
      <c r="E256" s="207"/>
      <c r="F256" s="208">
        <v>25</v>
      </c>
      <c r="G256" s="207" t="s">
        <v>141</v>
      </c>
      <c r="H256" s="207" t="s">
        <v>98</v>
      </c>
      <c r="I256" s="207" t="s">
        <v>351</v>
      </c>
      <c r="J256" s="447">
        <v>373.06</v>
      </c>
      <c r="K256" s="447">
        <f t="shared" si="26"/>
        <v>373.06</v>
      </c>
      <c r="L256" s="416">
        <v>45292</v>
      </c>
      <c r="M256" s="136"/>
      <c r="O256" s="78">
        <v>369.36759999999998</v>
      </c>
      <c r="P256" s="78">
        <v>369.36759999999998</v>
      </c>
    </row>
    <row r="257" spans="1:16">
      <c r="M257" s="78"/>
    </row>
    <row r="258" spans="1:16">
      <c r="A258" s="511" t="s">
        <v>312</v>
      </c>
      <c r="B258" s="188" t="s">
        <v>985</v>
      </c>
      <c r="C258" s="189">
        <f>K258/F258</f>
        <v>9.5239999999999991</v>
      </c>
      <c r="D258" s="190">
        <f>1.25*2.5</f>
        <v>3.125</v>
      </c>
      <c r="E258" s="190"/>
      <c r="F258" s="191">
        <v>20</v>
      </c>
      <c r="G258" s="190" t="s">
        <v>5</v>
      </c>
      <c r="H258" s="190">
        <v>720</v>
      </c>
      <c r="I258" s="190" t="s">
        <v>351</v>
      </c>
      <c r="J258" s="429">
        <v>205.71</v>
      </c>
      <c r="K258" s="429">
        <v>190.48</v>
      </c>
      <c r="L258" s="416">
        <v>45292</v>
      </c>
      <c r="M258" s="136"/>
      <c r="O258" s="78">
        <v>106.83</v>
      </c>
      <c r="P258" s="78">
        <v>101.03</v>
      </c>
    </row>
    <row r="259" spans="1:16">
      <c r="A259" s="511"/>
      <c r="B259" s="188" t="s">
        <v>986</v>
      </c>
      <c r="C259" s="189">
        <f>K259/F259</f>
        <v>6.8026666666666671</v>
      </c>
      <c r="D259" s="190">
        <f>1.25*2.5</f>
        <v>3.125</v>
      </c>
      <c r="E259" s="190"/>
      <c r="F259" s="191">
        <v>15</v>
      </c>
      <c r="G259" s="190" t="s">
        <v>5</v>
      </c>
      <c r="H259" s="190">
        <v>600</v>
      </c>
      <c r="I259" s="190" t="s">
        <v>346</v>
      </c>
      <c r="J259" s="429">
        <v>110.2</v>
      </c>
      <c r="K259" s="429">
        <v>102.04</v>
      </c>
      <c r="L259" s="416">
        <v>45292</v>
      </c>
      <c r="M259" s="136"/>
      <c r="O259" s="78">
        <v>106.83</v>
      </c>
      <c r="P259" s="78">
        <v>101.03</v>
      </c>
    </row>
    <row r="260" spans="1:16">
      <c r="A260" s="511"/>
      <c r="B260" s="188" t="s">
        <v>537</v>
      </c>
      <c r="C260" s="189">
        <f>K260/F260</f>
        <v>5.1180180180180184</v>
      </c>
      <c r="D260" s="190">
        <f>1.6*3</f>
        <v>4.8000000000000007</v>
      </c>
      <c r="E260" s="190"/>
      <c r="F260" s="191">
        <v>33.299999999999997</v>
      </c>
      <c r="G260" s="190" t="s">
        <v>5</v>
      </c>
      <c r="H260" s="190">
        <v>1998</v>
      </c>
      <c r="I260" s="190" t="s">
        <v>357</v>
      </c>
      <c r="J260" s="429">
        <v>184.06</v>
      </c>
      <c r="K260" s="429">
        <v>170.43</v>
      </c>
      <c r="L260" s="416">
        <v>45292</v>
      </c>
      <c r="M260" s="136"/>
      <c r="O260" s="78">
        <v>176.76</v>
      </c>
      <c r="P260" s="78">
        <v>168.74</v>
      </c>
    </row>
    <row r="261" spans="1:16">
      <c r="A261" s="511"/>
      <c r="B261" s="188" t="s">
        <v>538</v>
      </c>
      <c r="C261" s="189">
        <f>K261/F261</f>
        <v>2.0407999999999999</v>
      </c>
      <c r="D261" s="190">
        <f>1.5*2</f>
        <v>3</v>
      </c>
      <c r="E261" s="190"/>
      <c r="F261" s="191">
        <v>25</v>
      </c>
      <c r="G261" s="190" t="s">
        <v>5</v>
      </c>
      <c r="H261" s="190">
        <v>600</v>
      </c>
      <c r="I261" s="190" t="s">
        <v>346</v>
      </c>
      <c r="J261" s="429">
        <v>55.1</v>
      </c>
      <c r="K261" s="429">
        <v>51.02</v>
      </c>
      <c r="L261" s="416">
        <v>45292</v>
      </c>
      <c r="M261" s="136"/>
      <c r="O261" s="78">
        <v>53.26</v>
      </c>
      <c r="P261" s="78">
        <v>50.51</v>
      </c>
    </row>
    <row r="262" spans="1:16">
      <c r="A262" s="511"/>
      <c r="B262" s="188" t="s">
        <v>539</v>
      </c>
      <c r="C262" s="189">
        <f>K262/F262</f>
        <v>2.0916000000000001</v>
      </c>
      <c r="D262" s="190">
        <f>1.5*2</f>
        <v>3</v>
      </c>
      <c r="E262" s="190"/>
      <c r="F262" s="191">
        <v>25</v>
      </c>
      <c r="G262" s="190" t="s">
        <v>5</v>
      </c>
      <c r="H262" s="190">
        <v>600</v>
      </c>
      <c r="I262" s="190" t="s">
        <v>346</v>
      </c>
      <c r="J262" s="429">
        <v>56.47</v>
      </c>
      <c r="K262" s="429">
        <v>52.29</v>
      </c>
      <c r="L262" s="416">
        <v>45292</v>
      </c>
      <c r="M262" s="136"/>
      <c r="O262" s="78">
        <v>54.81</v>
      </c>
      <c r="P262" s="78">
        <v>51.77</v>
      </c>
    </row>
    <row r="263" spans="1:16">
      <c r="A263" s="511"/>
      <c r="B263" s="108" t="s">
        <v>98</v>
      </c>
      <c r="C263" s="69" t="s">
        <v>98</v>
      </c>
      <c r="D263" s="69" t="s">
        <v>98</v>
      </c>
      <c r="E263" s="69"/>
      <c r="F263" s="90" t="s">
        <v>98</v>
      </c>
      <c r="G263" s="69" t="s">
        <v>98</v>
      </c>
      <c r="H263" s="69" t="s">
        <v>98</v>
      </c>
      <c r="I263" s="69" t="s">
        <v>98</v>
      </c>
      <c r="J263" s="69" t="s">
        <v>98</v>
      </c>
      <c r="K263" s="69" t="s">
        <v>98</v>
      </c>
      <c r="M263" s="78"/>
    </row>
    <row r="264" spans="1:16">
      <c r="A264" s="511"/>
      <c r="B264" s="188" t="s">
        <v>540</v>
      </c>
      <c r="C264" s="189">
        <f>K264/F264</f>
        <v>3.9801666666666669</v>
      </c>
      <c r="D264" s="190">
        <v>1</v>
      </c>
      <c r="E264" s="190"/>
      <c r="F264" s="191">
        <v>60</v>
      </c>
      <c r="G264" s="190" t="s">
        <v>141</v>
      </c>
      <c r="H264" s="190">
        <v>84</v>
      </c>
      <c r="I264" s="190" t="s">
        <v>351</v>
      </c>
      <c r="J264" s="451">
        <v>245.79</v>
      </c>
      <c r="K264" s="451">
        <v>238.81</v>
      </c>
      <c r="L264" s="416">
        <v>45292</v>
      </c>
      <c r="M264" s="139"/>
      <c r="O264" s="78">
        <v>243.36</v>
      </c>
      <c r="P264" s="78">
        <v>236.45</v>
      </c>
    </row>
    <row r="265" spans="1:16">
      <c r="A265" s="511"/>
      <c r="B265" s="108" t="s">
        <v>98</v>
      </c>
      <c r="C265" s="69" t="s">
        <v>98</v>
      </c>
      <c r="D265" s="69" t="s">
        <v>98</v>
      </c>
      <c r="E265" s="69"/>
      <c r="F265" s="90" t="s">
        <v>98</v>
      </c>
      <c r="G265" s="69" t="s">
        <v>98</v>
      </c>
      <c r="H265" s="69" t="s">
        <v>98</v>
      </c>
      <c r="I265" s="69" t="s">
        <v>98</v>
      </c>
      <c r="J265" s="69" t="s">
        <v>98</v>
      </c>
      <c r="K265" s="69" t="s">
        <v>98</v>
      </c>
      <c r="M265" s="78"/>
    </row>
    <row r="266" spans="1:16">
      <c r="A266" s="77"/>
      <c r="B266" s="104"/>
      <c r="C266" s="78"/>
      <c r="D266" s="78"/>
      <c r="E266" s="78"/>
      <c r="F266" s="87"/>
      <c r="G266" s="78"/>
      <c r="J266" s="78"/>
      <c r="K266" s="78"/>
      <c r="M266" s="78"/>
    </row>
    <row r="267" spans="1:16">
      <c r="A267" s="511" t="s">
        <v>317</v>
      </c>
      <c r="B267" s="188" t="s">
        <v>677</v>
      </c>
      <c r="C267" s="196">
        <f>K267/F267</f>
        <v>0.22989999999999999</v>
      </c>
      <c r="D267" s="190">
        <v>6</v>
      </c>
      <c r="E267" s="190"/>
      <c r="F267" s="190">
        <v>100</v>
      </c>
      <c r="G267" s="190" t="s">
        <v>8</v>
      </c>
      <c r="H267" s="190" t="s">
        <v>98</v>
      </c>
      <c r="I267" s="209" t="s">
        <v>351</v>
      </c>
      <c r="J267" s="429">
        <v>22.99</v>
      </c>
      <c r="K267" s="429">
        <f>J267</f>
        <v>22.99</v>
      </c>
      <c r="L267" s="416">
        <v>45292</v>
      </c>
      <c r="M267" s="141"/>
      <c r="O267" s="78">
        <v>22.758199999999999</v>
      </c>
      <c r="P267" s="78">
        <v>22.758199999999999</v>
      </c>
    </row>
    <row r="268" spans="1:16">
      <c r="A268" s="511"/>
      <c r="B268" s="188" t="s">
        <v>678</v>
      </c>
      <c r="C268" s="196">
        <f>K268/F268</f>
        <v>0.28039999999999998</v>
      </c>
      <c r="D268" s="190">
        <v>6</v>
      </c>
      <c r="E268" s="190"/>
      <c r="F268" s="190">
        <v>100</v>
      </c>
      <c r="G268" s="190" t="s">
        <v>8</v>
      </c>
      <c r="H268" s="190" t="s">
        <v>98</v>
      </c>
      <c r="I268" s="209" t="s">
        <v>351</v>
      </c>
      <c r="J268" s="429">
        <v>28.04</v>
      </c>
      <c r="K268" s="429">
        <f t="shared" ref="K268:K270" si="27">J268</f>
        <v>28.04</v>
      </c>
      <c r="L268" s="416">
        <v>45292</v>
      </c>
      <c r="M268" s="139"/>
      <c r="O268" s="78">
        <v>27.761400000000002</v>
      </c>
      <c r="P268" s="78">
        <v>27.761400000000002</v>
      </c>
    </row>
    <row r="269" spans="1:16">
      <c r="A269" s="511"/>
      <c r="B269" s="188" t="s">
        <v>679</v>
      </c>
      <c r="C269" s="196">
        <f>K269/F269</f>
        <v>0.44829999999999998</v>
      </c>
      <c r="D269" s="190">
        <v>5.5</v>
      </c>
      <c r="E269" s="190"/>
      <c r="F269" s="190">
        <v>100</v>
      </c>
      <c r="G269" s="190" t="s">
        <v>8</v>
      </c>
      <c r="H269" s="190" t="s">
        <v>98</v>
      </c>
      <c r="I269" s="209" t="s">
        <v>351</v>
      </c>
      <c r="J269" s="429">
        <v>44.83</v>
      </c>
      <c r="K269" s="429">
        <f t="shared" si="27"/>
        <v>44.83</v>
      </c>
      <c r="L269" s="416">
        <v>45292</v>
      </c>
      <c r="M269" s="139"/>
      <c r="O269" s="78">
        <v>44.382199999999997</v>
      </c>
      <c r="P269" s="78">
        <v>44.382199999999997</v>
      </c>
    </row>
    <row r="270" spans="1:16">
      <c r="A270" s="511"/>
      <c r="B270" s="188" t="s">
        <v>680</v>
      </c>
      <c r="C270" s="196">
        <f>K270/F270</f>
        <v>7.664E-2</v>
      </c>
      <c r="D270" s="190">
        <v>6</v>
      </c>
      <c r="E270" s="190">
        <v>5.5</v>
      </c>
      <c r="F270" s="190">
        <v>500</v>
      </c>
      <c r="G270" s="190" t="s">
        <v>8</v>
      </c>
      <c r="H270" s="190" t="s">
        <v>98</v>
      </c>
      <c r="I270" s="209" t="s">
        <v>351</v>
      </c>
      <c r="J270" s="429">
        <v>38.32</v>
      </c>
      <c r="K270" s="429">
        <f t="shared" si="27"/>
        <v>38.32</v>
      </c>
      <c r="L270" s="416">
        <v>45292</v>
      </c>
      <c r="M270" s="141"/>
      <c r="O270" s="78">
        <v>37.94</v>
      </c>
      <c r="P270" s="78">
        <v>37.94</v>
      </c>
    </row>
    <row r="271" spans="1:16">
      <c r="A271" s="511"/>
      <c r="B271" s="108" t="s">
        <v>98</v>
      </c>
      <c r="C271" s="69" t="s">
        <v>98</v>
      </c>
      <c r="D271" s="69" t="s">
        <v>98</v>
      </c>
      <c r="E271" s="69"/>
      <c r="F271" s="69" t="s">
        <v>98</v>
      </c>
      <c r="G271" s="69" t="s">
        <v>98</v>
      </c>
      <c r="H271" s="69" t="s">
        <v>98</v>
      </c>
      <c r="I271" s="68" t="s">
        <v>98</v>
      </c>
      <c r="J271" s="69" t="s">
        <v>98</v>
      </c>
      <c r="K271" s="69" t="s">
        <v>98</v>
      </c>
      <c r="M271" s="78"/>
    </row>
    <row r="272" spans="1:16">
      <c r="A272" s="77"/>
      <c r="B272" s="104"/>
      <c r="C272" s="78"/>
      <c r="D272" s="78"/>
      <c r="E272" s="78"/>
      <c r="F272" s="87"/>
      <c r="G272" s="78"/>
      <c r="J272" s="78"/>
      <c r="K272" s="78"/>
      <c r="M272" s="78"/>
    </row>
    <row r="273" spans="1:16">
      <c r="A273" s="511" t="s">
        <v>318</v>
      </c>
      <c r="B273" s="210" t="s">
        <v>682</v>
      </c>
      <c r="C273" s="196">
        <f t="shared" ref="C273:C283" si="28">K273/F273</f>
        <v>1.393</v>
      </c>
      <c r="D273" s="211">
        <v>1</v>
      </c>
      <c r="E273" s="189"/>
      <c r="F273" s="212">
        <v>100</v>
      </c>
      <c r="G273" s="189" t="s">
        <v>8</v>
      </c>
      <c r="H273" s="189" t="s">
        <v>98</v>
      </c>
      <c r="I273" s="189" t="s">
        <v>351</v>
      </c>
      <c r="J273" s="429">
        <v>139.30000000000001</v>
      </c>
      <c r="K273" s="429">
        <f t="shared" ref="K273:K280" si="29">J273</f>
        <v>139.30000000000001</v>
      </c>
      <c r="L273" s="416">
        <v>45292</v>
      </c>
      <c r="M273" s="136"/>
      <c r="O273" s="78">
        <v>135.24540000000002</v>
      </c>
      <c r="P273" s="78">
        <v>135.24540000000002</v>
      </c>
    </row>
    <row r="274" spans="1:16">
      <c r="A274" s="511"/>
      <c r="B274" s="188" t="s">
        <v>683</v>
      </c>
      <c r="C274" s="196">
        <f t="shared" si="28"/>
        <v>7.2249999999999996</v>
      </c>
      <c r="D274" s="190">
        <v>1</v>
      </c>
      <c r="E274" s="190"/>
      <c r="F274" s="191">
        <v>20</v>
      </c>
      <c r="G274" s="190" t="s">
        <v>8</v>
      </c>
      <c r="H274" s="190" t="s">
        <v>98</v>
      </c>
      <c r="I274" s="190" t="s">
        <v>351</v>
      </c>
      <c r="J274" s="429">
        <v>144.5</v>
      </c>
      <c r="K274" s="429">
        <f t="shared" si="29"/>
        <v>144.5</v>
      </c>
      <c r="L274" s="416">
        <v>45292</v>
      </c>
      <c r="M274" s="136"/>
      <c r="O274" s="78">
        <v>140.291</v>
      </c>
      <c r="P274" s="78">
        <v>140.291</v>
      </c>
    </row>
    <row r="275" spans="1:16">
      <c r="A275" s="511"/>
      <c r="B275" s="188" t="s">
        <v>684</v>
      </c>
      <c r="C275" s="196">
        <f t="shared" si="28"/>
        <v>7.33</v>
      </c>
      <c r="D275" s="190">
        <v>1</v>
      </c>
      <c r="E275" s="190"/>
      <c r="F275" s="191">
        <v>20</v>
      </c>
      <c r="G275" s="190" t="s">
        <v>8</v>
      </c>
      <c r="H275" s="190" t="s">
        <v>98</v>
      </c>
      <c r="I275" s="190" t="s">
        <v>351</v>
      </c>
      <c r="J275" s="429">
        <v>146.6</v>
      </c>
      <c r="K275" s="429">
        <f t="shared" si="29"/>
        <v>146.6</v>
      </c>
      <c r="L275" s="416">
        <v>45292</v>
      </c>
      <c r="M275" s="136"/>
      <c r="O275" s="78">
        <v>142.32620000000003</v>
      </c>
      <c r="P275" s="78">
        <v>142.32620000000003</v>
      </c>
    </row>
    <row r="276" spans="1:16">
      <c r="A276" s="511"/>
      <c r="B276" s="188" t="s">
        <v>685</v>
      </c>
      <c r="C276" s="196">
        <f t="shared" si="28"/>
        <v>7.4879999999999995</v>
      </c>
      <c r="D276" s="190">
        <v>1</v>
      </c>
      <c r="E276" s="190"/>
      <c r="F276" s="191">
        <v>20</v>
      </c>
      <c r="G276" s="190" t="s">
        <v>8</v>
      </c>
      <c r="H276" s="190" t="s">
        <v>98</v>
      </c>
      <c r="I276" s="190" t="s">
        <v>351</v>
      </c>
      <c r="J276" s="429">
        <v>149.76</v>
      </c>
      <c r="K276" s="429">
        <f t="shared" si="29"/>
        <v>149.76</v>
      </c>
      <c r="L276" s="416">
        <v>45292</v>
      </c>
      <c r="M276" s="136"/>
      <c r="O276" s="78">
        <v>145.40019999999998</v>
      </c>
      <c r="P276" s="78">
        <v>145.40019999999998</v>
      </c>
    </row>
    <row r="277" spans="1:16">
      <c r="A277" s="511"/>
      <c r="B277" s="188" t="s">
        <v>686</v>
      </c>
      <c r="C277" s="196">
        <f t="shared" si="28"/>
        <v>7.5939999999999994</v>
      </c>
      <c r="D277" s="190">
        <v>1</v>
      </c>
      <c r="E277" s="190"/>
      <c r="F277" s="191">
        <v>20</v>
      </c>
      <c r="G277" s="190" t="s">
        <v>8</v>
      </c>
      <c r="H277" s="190" t="s">
        <v>98</v>
      </c>
      <c r="I277" s="190" t="s">
        <v>351</v>
      </c>
      <c r="J277" s="429">
        <v>151.88</v>
      </c>
      <c r="K277" s="429">
        <f t="shared" si="29"/>
        <v>151.88</v>
      </c>
      <c r="L277" s="416">
        <v>45292</v>
      </c>
      <c r="M277" s="136"/>
      <c r="O277" s="78">
        <v>147.45660000000001</v>
      </c>
      <c r="P277" s="78">
        <v>147.45660000000001</v>
      </c>
    </row>
    <row r="278" spans="1:16">
      <c r="A278" s="511"/>
      <c r="B278" s="188" t="s">
        <v>687</v>
      </c>
      <c r="C278" s="196">
        <f t="shared" si="28"/>
        <v>7.8045</v>
      </c>
      <c r="D278" s="190">
        <v>1</v>
      </c>
      <c r="E278" s="190"/>
      <c r="F278" s="191">
        <v>20</v>
      </c>
      <c r="G278" s="190" t="s">
        <v>8</v>
      </c>
      <c r="H278" s="190" t="s">
        <v>98</v>
      </c>
      <c r="I278" s="190" t="s">
        <v>351</v>
      </c>
      <c r="J278" s="429">
        <v>156.09</v>
      </c>
      <c r="K278" s="429">
        <f t="shared" si="29"/>
        <v>156.09</v>
      </c>
      <c r="L278" s="416">
        <v>45292</v>
      </c>
      <c r="M278" s="136"/>
      <c r="O278" s="78">
        <v>151.54820000000001</v>
      </c>
      <c r="P278" s="78">
        <v>151.54820000000001</v>
      </c>
    </row>
    <row r="279" spans="1:16">
      <c r="A279" s="511"/>
      <c r="B279" s="188" t="s">
        <v>847</v>
      </c>
      <c r="C279" s="189">
        <f t="shared" si="28"/>
        <v>28.077999999999996</v>
      </c>
      <c r="D279" s="190">
        <v>1</v>
      </c>
      <c r="E279" s="190"/>
      <c r="F279" s="191">
        <v>20</v>
      </c>
      <c r="G279" s="190" t="s">
        <v>8</v>
      </c>
      <c r="H279" s="190" t="s">
        <v>98</v>
      </c>
      <c r="I279" s="190" t="s">
        <v>351</v>
      </c>
      <c r="J279" s="429">
        <v>561.55999999999995</v>
      </c>
      <c r="K279" s="429">
        <f t="shared" si="29"/>
        <v>561.55999999999995</v>
      </c>
      <c r="L279" s="416">
        <v>45292</v>
      </c>
      <c r="M279" s="138"/>
      <c r="O279" s="78">
        <v>545.20040000000006</v>
      </c>
      <c r="P279" s="78">
        <v>545.20040000000006</v>
      </c>
    </row>
    <row r="280" spans="1:16">
      <c r="A280" s="511"/>
      <c r="B280" s="188" t="s">
        <v>848</v>
      </c>
      <c r="C280" s="189">
        <f t="shared" si="28"/>
        <v>28.077999999999996</v>
      </c>
      <c r="D280" s="190">
        <v>1</v>
      </c>
      <c r="E280" s="190"/>
      <c r="F280" s="191">
        <v>20</v>
      </c>
      <c r="G280" s="190" t="s">
        <v>8</v>
      </c>
      <c r="H280" s="190" t="s">
        <v>98</v>
      </c>
      <c r="I280" s="190" t="s">
        <v>351</v>
      </c>
      <c r="J280" s="429">
        <v>561.55999999999995</v>
      </c>
      <c r="K280" s="429">
        <f t="shared" si="29"/>
        <v>561.55999999999995</v>
      </c>
      <c r="L280" s="416">
        <v>45292</v>
      </c>
      <c r="M280" s="138"/>
      <c r="O280" s="78">
        <v>545.20040000000006</v>
      </c>
      <c r="P280" s="78">
        <v>545.20040000000006</v>
      </c>
    </row>
    <row r="281" spans="1:16">
      <c r="A281" s="511"/>
      <c r="B281" s="188" t="s">
        <v>688</v>
      </c>
      <c r="C281" s="189">
        <f t="shared" si="28"/>
        <v>125.43</v>
      </c>
      <c r="D281" s="190">
        <v>1</v>
      </c>
      <c r="E281" s="190"/>
      <c r="F281" s="191">
        <v>1</v>
      </c>
      <c r="G281" s="190" t="s">
        <v>8</v>
      </c>
      <c r="H281" s="190" t="s">
        <v>98</v>
      </c>
      <c r="I281" s="190" t="s">
        <v>351</v>
      </c>
      <c r="J281" s="429">
        <v>125.43</v>
      </c>
      <c r="K281" s="429">
        <f>J281</f>
        <v>125.43</v>
      </c>
      <c r="L281" s="416">
        <v>45292</v>
      </c>
      <c r="M281" s="136"/>
      <c r="O281" s="78">
        <v>121.77</v>
      </c>
      <c r="P281" s="78">
        <v>121.77</v>
      </c>
    </row>
    <row r="282" spans="1:16">
      <c r="A282" s="511"/>
      <c r="B282" s="188" t="s">
        <v>689</v>
      </c>
      <c r="C282" s="189">
        <f t="shared" si="28"/>
        <v>136.11000000000001</v>
      </c>
      <c r="D282" s="190">
        <v>1</v>
      </c>
      <c r="E282" s="190"/>
      <c r="F282" s="191">
        <v>1</v>
      </c>
      <c r="G282" s="190" t="s">
        <v>8</v>
      </c>
      <c r="H282" s="190" t="s">
        <v>98</v>
      </c>
      <c r="I282" s="190" t="s">
        <v>351</v>
      </c>
      <c r="J282" s="429">
        <v>136.11000000000001</v>
      </c>
      <c r="K282" s="429">
        <f t="shared" ref="K282:K283" si="30">J282</f>
        <v>136.11000000000001</v>
      </c>
      <c r="L282" s="416">
        <v>45292</v>
      </c>
      <c r="M282" s="136"/>
      <c r="O282" s="78">
        <v>132.15</v>
      </c>
      <c r="P282" s="78">
        <v>132.15</v>
      </c>
    </row>
    <row r="283" spans="1:16">
      <c r="A283" s="511"/>
      <c r="B283" s="188" t="s">
        <v>690</v>
      </c>
      <c r="C283" s="189">
        <f t="shared" si="28"/>
        <v>154.44999999999999</v>
      </c>
      <c r="D283" s="190">
        <v>1</v>
      </c>
      <c r="E283" s="190"/>
      <c r="F283" s="191">
        <v>1</v>
      </c>
      <c r="G283" s="190" t="s">
        <v>8</v>
      </c>
      <c r="H283" s="190" t="s">
        <v>98</v>
      </c>
      <c r="I283" s="190" t="s">
        <v>351</v>
      </c>
      <c r="J283" s="429">
        <v>154.44999999999999</v>
      </c>
      <c r="K283" s="429">
        <f t="shared" si="30"/>
        <v>154.44999999999999</v>
      </c>
      <c r="L283" s="416">
        <v>45292</v>
      </c>
      <c r="M283" s="136"/>
      <c r="O283" s="78">
        <v>149.94999999999999</v>
      </c>
      <c r="P283" s="78">
        <v>149.94999999999999</v>
      </c>
    </row>
    <row r="284" spans="1:16">
      <c r="A284" s="511"/>
      <c r="B284" s="108" t="s">
        <v>98</v>
      </c>
      <c r="C284" s="69" t="s">
        <v>98</v>
      </c>
      <c r="D284" s="69" t="s">
        <v>98</v>
      </c>
      <c r="E284" s="69"/>
      <c r="F284" s="90" t="s">
        <v>98</v>
      </c>
      <c r="G284" s="69" t="s">
        <v>98</v>
      </c>
      <c r="H284" s="69" t="s">
        <v>98</v>
      </c>
      <c r="I284" s="69" t="s">
        <v>98</v>
      </c>
      <c r="J284" s="69" t="s">
        <v>98</v>
      </c>
      <c r="K284" s="69" t="s">
        <v>98</v>
      </c>
      <c r="M284" s="78"/>
    </row>
    <row r="285" spans="1:16">
      <c r="A285" s="77"/>
      <c r="B285" s="104"/>
      <c r="C285" s="78"/>
      <c r="D285" s="78"/>
      <c r="E285" s="78"/>
      <c r="F285" s="87"/>
      <c r="G285" s="78"/>
      <c r="J285" s="78"/>
      <c r="K285" s="78"/>
      <c r="M285" s="78"/>
    </row>
    <row r="286" spans="1:16">
      <c r="A286" s="511" t="s">
        <v>319</v>
      </c>
      <c r="B286" s="188" t="s">
        <v>681</v>
      </c>
      <c r="C286" s="189">
        <f>K286/F286</f>
        <v>2.2387199999999998</v>
      </c>
      <c r="D286" s="190">
        <v>1</v>
      </c>
      <c r="E286" s="190"/>
      <c r="F286" s="190">
        <v>250</v>
      </c>
      <c r="G286" s="190" t="s">
        <v>141</v>
      </c>
      <c r="H286" s="190">
        <v>20</v>
      </c>
      <c r="I286" s="190" t="s">
        <v>351</v>
      </c>
      <c r="J286" s="429">
        <v>559.67999999999995</v>
      </c>
      <c r="K286" s="429">
        <f>J286</f>
        <v>559.67999999999995</v>
      </c>
      <c r="L286" s="416">
        <v>45292</v>
      </c>
      <c r="M286" s="144" t="s">
        <v>458</v>
      </c>
      <c r="O286" s="78">
        <v>559.67999999999995</v>
      </c>
      <c r="P286" s="78">
        <v>559.67999999999995</v>
      </c>
    </row>
    <row r="287" spans="1:16">
      <c r="A287" s="511"/>
      <c r="B287" s="188" t="s">
        <v>541</v>
      </c>
      <c r="C287" s="189">
        <f>K287/F287</f>
        <v>0.30880000000000002</v>
      </c>
      <c r="D287" s="190">
        <v>3</v>
      </c>
      <c r="E287" s="190"/>
      <c r="F287" s="190">
        <v>300</v>
      </c>
      <c r="G287" s="190" t="s">
        <v>141</v>
      </c>
      <c r="H287" s="190">
        <v>120</v>
      </c>
      <c r="I287" s="190" t="s">
        <v>351</v>
      </c>
      <c r="J287" s="451">
        <v>95.76</v>
      </c>
      <c r="K287" s="429">
        <v>92.64</v>
      </c>
      <c r="L287" s="416">
        <v>45292</v>
      </c>
      <c r="M287" s="139"/>
      <c r="O287" s="78">
        <v>92.97</v>
      </c>
      <c r="P287" s="78">
        <v>89.94</v>
      </c>
    </row>
    <row r="288" spans="1:16">
      <c r="A288" s="511"/>
      <c r="B288" s="108" t="s">
        <v>98</v>
      </c>
      <c r="C288" s="69" t="s">
        <v>98</v>
      </c>
      <c r="D288" s="69" t="s">
        <v>98</v>
      </c>
      <c r="E288" s="69"/>
      <c r="F288" s="90" t="s">
        <v>98</v>
      </c>
      <c r="G288" s="69" t="s">
        <v>98</v>
      </c>
      <c r="H288" s="69" t="s">
        <v>98</v>
      </c>
      <c r="I288" s="69" t="s">
        <v>98</v>
      </c>
      <c r="J288" s="69" t="s">
        <v>98</v>
      </c>
      <c r="K288" s="69" t="s">
        <v>98</v>
      </c>
      <c r="M288" s="78"/>
    </row>
    <row r="289" spans="1:16">
      <c r="A289" s="77"/>
      <c r="B289" s="104"/>
      <c r="C289" s="78"/>
      <c r="D289" s="78"/>
      <c r="E289" s="78"/>
      <c r="F289" s="87"/>
      <c r="G289" s="78"/>
      <c r="J289" s="78"/>
      <c r="K289" s="78"/>
      <c r="M289" s="78"/>
    </row>
    <row r="290" spans="1:16">
      <c r="A290" s="514" t="s">
        <v>320</v>
      </c>
      <c r="B290" s="165" t="s">
        <v>524</v>
      </c>
      <c r="C290" s="166">
        <f>K290/F290</f>
        <v>5.6044000000000009</v>
      </c>
      <c r="D290" s="166">
        <v>3.5</v>
      </c>
      <c r="E290" s="167"/>
      <c r="F290" s="168">
        <v>25</v>
      </c>
      <c r="G290" s="167" t="s">
        <v>5</v>
      </c>
      <c r="H290" s="167">
        <v>600</v>
      </c>
      <c r="I290" s="167" t="s">
        <v>353</v>
      </c>
      <c r="J290" s="437">
        <f t="shared" ref="J290:K293" si="31">J171</f>
        <v>141.43</v>
      </c>
      <c r="K290" s="437">
        <f t="shared" si="31"/>
        <v>140.11000000000001</v>
      </c>
      <c r="L290" s="416">
        <v>45292</v>
      </c>
      <c r="M290" s="144"/>
    </row>
    <row r="291" spans="1:16">
      <c r="A291" s="514"/>
      <c r="B291" s="165" t="s">
        <v>525</v>
      </c>
      <c r="C291" s="166">
        <f>K291/F291</f>
        <v>5.9408000000000003</v>
      </c>
      <c r="D291" s="166">
        <v>3.5</v>
      </c>
      <c r="E291" s="167"/>
      <c r="F291" s="168">
        <v>25</v>
      </c>
      <c r="G291" s="167" t="s">
        <v>5</v>
      </c>
      <c r="H291" s="167">
        <v>600</v>
      </c>
      <c r="I291" s="167" t="s">
        <v>353</v>
      </c>
      <c r="J291" s="437">
        <f t="shared" si="31"/>
        <v>149.91</v>
      </c>
      <c r="K291" s="437">
        <f t="shared" si="31"/>
        <v>148.52000000000001</v>
      </c>
      <c r="L291" s="416">
        <v>45292</v>
      </c>
      <c r="M291" s="144"/>
    </row>
    <row r="292" spans="1:16">
      <c r="A292" s="514"/>
      <c r="B292" s="165" t="s">
        <v>526</v>
      </c>
      <c r="C292" s="166">
        <f>K292/F292</f>
        <v>5.4151999999999996</v>
      </c>
      <c r="D292" s="166">
        <v>2.7</v>
      </c>
      <c r="E292" s="167"/>
      <c r="F292" s="168">
        <v>25</v>
      </c>
      <c r="G292" s="167" t="s">
        <v>5</v>
      </c>
      <c r="H292" s="167">
        <v>600</v>
      </c>
      <c r="I292" s="167" t="s">
        <v>353</v>
      </c>
      <c r="J292" s="437">
        <f t="shared" si="31"/>
        <v>136.82</v>
      </c>
      <c r="K292" s="437">
        <f t="shared" si="31"/>
        <v>135.38</v>
      </c>
      <c r="L292" s="416">
        <v>45292</v>
      </c>
      <c r="M292" s="144"/>
    </row>
    <row r="293" spans="1:16">
      <c r="A293" s="514"/>
      <c r="B293" s="165" t="s">
        <v>527</v>
      </c>
      <c r="C293" s="166">
        <f>K293/F293</f>
        <v>5.74</v>
      </c>
      <c r="D293" s="166">
        <v>2.7</v>
      </c>
      <c r="E293" s="167"/>
      <c r="F293" s="168">
        <v>25</v>
      </c>
      <c r="G293" s="167" t="s">
        <v>5</v>
      </c>
      <c r="H293" s="167">
        <v>600</v>
      </c>
      <c r="I293" s="167" t="s">
        <v>353</v>
      </c>
      <c r="J293" s="437">
        <f t="shared" si="31"/>
        <v>145.03</v>
      </c>
      <c r="K293" s="437">
        <f t="shared" si="31"/>
        <v>143.5</v>
      </c>
      <c r="L293" s="416">
        <v>45292</v>
      </c>
      <c r="M293" s="144"/>
    </row>
    <row r="294" spans="1:16">
      <c r="A294" s="514"/>
      <c r="B294" s="165" t="s">
        <v>518</v>
      </c>
      <c r="C294" s="166">
        <f t="shared" ref="C294:C299" si="32">K294/F294</f>
        <v>5.8355999999999995</v>
      </c>
      <c r="D294" s="166">
        <v>2</v>
      </c>
      <c r="E294" s="167"/>
      <c r="F294" s="168">
        <v>25</v>
      </c>
      <c r="G294" s="167" t="s">
        <v>5</v>
      </c>
      <c r="H294" s="167">
        <v>600</v>
      </c>
      <c r="I294" s="167" t="s">
        <v>353</v>
      </c>
      <c r="J294" s="437">
        <f>J176</f>
        <v>147.35</v>
      </c>
      <c r="K294" s="437">
        <f>K176</f>
        <v>145.88999999999999</v>
      </c>
      <c r="L294" s="416">
        <v>45292</v>
      </c>
      <c r="M294" s="144"/>
    </row>
    <row r="295" spans="1:16">
      <c r="A295" s="514"/>
      <c r="B295" s="165" t="s">
        <v>519</v>
      </c>
      <c r="C295" s="166">
        <f t="shared" si="32"/>
        <v>6.1859999999999999</v>
      </c>
      <c r="D295" s="166">
        <v>2</v>
      </c>
      <c r="E295" s="167"/>
      <c r="F295" s="168">
        <v>25</v>
      </c>
      <c r="G295" s="167" t="s">
        <v>5</v>
      </c>
      <c r="H295" s="167">
        <v>600</v>
      </c>
      <c r="I295" s="167" t="s">
        <v>353</v>
      </c>
      <c r="J295" s="437">
        <f t="shared" ref="J295:K297" si="33">J177</f>
        <v>156.19</v>
      </c>
      <c r="K295" s="437">
        <f t="shared" si="33"/>
        <v>154.65</v>
      </c>
      <c r="L295" s="416">
        <v>45292</v>
      </c>
      <c r="M295" s="144"/>
    </row>
    <row r="296" spans="1:16">
      <c r="A296" s="514"/>
      <c r="B296" s="165" t="s">
        <v>520</v>
      </c>
      <c r="C296" s="166">
        <f t="shared" si="32"/>
        <v>6.0832000000000006</v>
      </c>
      <c r="D296" s="166">
        <v>1.5</v>
      </c>
      <c r="E296" s="167"/>
      <c r="F296" s="168">
        <v>25</v>
      </c>
      <c r="G296" s="167" t="s">
        <v>5</v>
      </c>
      <c r="H296" s="167">
        <v>600</v>
      </c>
      <c r="I296" s="167" t="s">
        <v>353</v>
      </c>
      <c r="J296" s="437">
        <f t="shared" si="33"/>
        <v>153.63999999999999</v>
      </c>
      <c r="K296" s="437">
        <f t="shared" si="33"/>
        <v>152.08000000000001</v>
      </c>
      <c r="L296" s="416">
        <v>45292</v>
      </c>
      <c r="M296" s="144"/>
    </row>
    <row r="297" spans="1:16">
      <c r="A297" s="514"/>
      <c r="B297" s="165" t="s">
        <v>521</v>
      </c>
      <c r="C297" s="166">
        <f t="shared" si="32"/>
        <v>6.4479999999999995</v>
      </c>
      <c r="D297" s="166">
        <v>1.5</v>
      </c>
      <c r="E297" s="167"/>
      <c r="F297" s="168">
        <v>25</v>
      </c>
      <c r="G297" s="167" t="s">
        <v>5</v>
      </c>
      <c r="H297" s="167">
        <v>600</v>
      </c>
      <c r="I297" s="167" t="s">
        <v>353</v>
      </c>
      <c r="J297" s="437">
        <f t="shared" si="33"/>
        <v>162.86000000000001</v>
      </c>
      <c r="K297" s="437">
        <f t="shared" si="33"/>
        <v>161.19999999999999</v>
      </c>
      <c r="L297" s="416">
        <v>45292</v>
      </c>
      <c r="M297" s="144"/>
    </row>
    <row r="298" spans="1:16">
      <c r="A298" s="514"/>
      <c r="B298" s="165" t="s">
        <v>522</v>
      </c>
      <c r="C298" s="166">
        <f t="shared" si="32"/>
        <v>16.992857142857144</v>
      </c>
      <c r="D298" s="166">
        <v>0.3</v>
      </c>
      <c r="E298" s="167"/>
      <c r="F298" s="168">
        <v>14</v>
      </c>
      <c r="G298" s="167" t="s">
        <v>13</v>
      </c>
      <c r="H298" s="167">
        <v>336</v>
      </c>
      <c r="I298" s="167" t="s">
        <v>353</v>
      </c>
      <c r="J298" s="437">
        <f>J207</f>
        <v>240.27</v>
      </c>
      <c r="K298" s="437">
        <f>K207</f>
        <v>237.9</v>
      </c>
      <c r="L298" s="416">
        <v>45292</v>
      </c>
      <c r="M298" s="144"/>
    </row>
    <row r="299" spans="1:16">
      <c r="A299" s="514"/>
      <c r="B299" s="165" t="s">
        <v>523</v>
      </c>
      <c r="C299" s="166">
        <f t="shared" si="32"/>
        <v>18.012142857142855</v>
      </c>
      <c r="D299" s="166">
        <v>0.3</v>
      </c>
      <c r="E299" s="167"/>
      <c r="F299" s="168">
        <v>14</v>
      </c>
      <c r="G299" s="167" t="s">
        <v>13</v>
      </c>
      <c r="H299" s="167">
        <v>336</v>
      </c>
      <c r="I299" s="167" t="s">
        <v>353</v>
      </c>
      <c r="J299" s="437">
        <f>J208</f>
        <v>254.69</v>
      </c>
      <c r="K299" s="437">
        <f>K208</f>
        <v>252.17</v>
      </c>
      <c r="L299" s="416">
        <v>45292</v>
      </c>
      <c r="M299" s="144"/>
    </row>
    <row r="300" spans="1:16">
      <c r="A300" s="77"/>
      <c r="B300" s="104"/>
      <c r="C300" s="78"/>
      <c r="D300" s="78"/>
      <c r="E300" s="78"/>
      <c r="F300" s="87"/>
      <c r="G300" s="78"/>
      <c r="J300" s="78"/>
      <c r="K300" s="78"/>
      <c r="M300" s="78"/>
    </row>
    <row r="301" spans="1:16">
      <c r="A301" s="510" t="s">
        <v>433</v>
      </c>
      <c r="B301" s="178" t="s">
        <v>532</v>
      </c>
      <c r="C301" s="179">
        <f>K301/F301</f>
        <v>0.37799999999999995</v>
      </c>
      <c r="D301" s="179">
        <v>1.6</v>
      </c>
      <c r="E301" s="180"/>
      <c r="F301" s="181">
        <v>25</v>
      </c>
      <c r="G301" s="180" t="s">
        <v>5</v>
      </c>
      <c r="H301" s="180">
        <v>1200</v>
      </c>
      <c r="I301" s="180" t="s">
        <v>346</v>
      </c>
      <c r="J301" s="452">
        <v>10.76</v>
      </c>
      <c r="K301" s="452">
        <v>9.4499999999999993</v>
      </c>
      <c r="L301" s="416">
        <v>45292</v>
      </c>
      <c r="M301" s="136"/>
      <c r="O301" s="78">
        <v>10.46</v>
      </c>
      <c r="P301" s="78">
        <v>9.26</v>
      </c>
    </row>
    <row r="302" spans="1:16">
      <c r="A302" s="510"/>
      <c r="B302" s="178" t="s">
        <v>531</v>
      </c>
      <c r="C302" s="179">
        <f>K302/F302</f>
        <v>0.35759999999999997</v>
      </c>
      <c r="D302" s="179">
        <v>1.6</v>
      </c>
      <c r="E302" s="180"/>
      <c r="F302" s="181">
        <v>25</v>
      </c>
      <c r="G302" s="180" t="s">
        <v>5</v>
      </c>
      <c r="H302" s="180">
        <v>1200</v>
      </c>
      <c r="I302" s="180" t="s">
        <v>346</v>
      </c>
      <c r="J302" s="452">
        <v>10.17</v>
      </c>
      <c r="K302" s="452">
        <v>8.94</v>
      </c>
      <c r="L302" s="416">
        <v>45292</v>
      </c>
      <c r="M302" s="136"/>
      <c r="O302" s="78">
        <v>9.98</v>
      </c>
      <c r="P302" s="78">
        <v>8.76</v>
      </c>
    </row>
    <row r="303" spans="1:16">
      <c r="A303" s="510"/>
      <c r="B303" s="178" t="s">
        <v>530</v>
      </c>
      <c r="C303" s="179">
        <f>K303/F303</f>
        <v>1.3244</v>
      </c>
      <c r="D303" s="179">
        <f>1.7*5</f>
        <v>8.5</v>
      </c>
      <c r="E303" s="180"/>
      <c r="F303" s="181">
        <v>25</v>
      </c>
      <c r="G303" s="180" t="s">
        <v>5</v>
      </c>
      <c r="H303" s="180">
        <v>1200</v>
      </c>
      <c r="I303" s="180" t="s">
        <v>346</v>
      </c>
      <c r="J303" s="452">
        <v>35.409999999999997</v>
      </c>
      <c r="K303" s="452">
        <v>33.11</v>
      </c>
      <c r="L303" s="416">
        <v>45292</v>
      </c>
      <c r="M303" s="136"/>
      <c r="O303" s="78">
        <v>15.2</v>
      </c>
      <c r="P303" s="78">
        <v>14.37</v>
      </c>
    </row>
    <row r="304" spans="1:16">
      <c r="A304" s="510"/>
      <c r="B304" s="178" t="s">
        <v>529</v>
      </c>
      <c r="C304" s="179">
        <f>K304/F304</f>
        <v>0.68400000000000005</v>
      </c>
      <c r="D304" s="179">
        <v>1.6</v>
      </c>
      <c r="E304" s="180"/>
      <c r="F304" s="181">
        <v>25</v>
      </c>
      <c r="G304" s="180" t="s">
        <v>5</v>
      </c>
      <c r="H304" s="180">
        <v>1200</v>
      </c>
      <c r="I304" s="180" t="s">
        <v>346</v>
      </c>
      <c r="J304" s="452">
        <v>18.47</v>
      </c>
      <c r="K304" s="452">
        <v>17.100000000000001</v>
      </c>
      <c r="L304" s="416">
        <v>45292</v>
      </c>
      <c r="M304" s="136"/>
      <c r="O304" s="78">
        <v>17.670000000000002</v>
      </c>
      <c r="P304" s="78">
        <v>16.600000000000001</v>
      </c>
    </row>
    <row r="305" spans="1:16">
      <c r="A305" s="77"/>
      <c r="B305" s="104"/>
      <c r="C305" s="78"/>
      <c r="D305" s="78"/>
      <c r="E305" s="78"/>
      <c r="F305" s="87"/>
      <c r="G305" s="78"/>
      <c r="J305" s="78"/>
      <c r="K305" s="78"/>
    </row>
    <row r="306" spans="1:16">
      <c r="A306" s="515" t="s">
        <v>987</v>
      </c>
      <c r="B306" s="178" t="s">
        <v>988</v>
      </c>
      <c r="C306" s="179">
        <f>K306/F306</f>
        <v>0.98329999999999995</v>
      </c>
      <c r="D306" s="179">
        <v>6</v>
      </c>
      <c r="E306" s="180"/>
      <c r="F306" s="181">
        <v>100</v>
      </c>
      <c r="G306" s="180" t="s">
        <v>8</v>
      </c>
      <c r="H306" s="180">
        <v>36</v>
      </c>
      <c r="I306" s="180" t="s">
        <v>351</v>
      </c>
      <c r="J306" s="452">
        <v>98.33</v>
      </c>
      <c r="K306" s="452">
        <v>98.33</v>
      </c>
      <c r="L306" s="416">
        <v>45292</v>
      </c>
      <c r="O306" s="78">
        <v>98.33</v>
      </c>
      <c r="P306" s="78">
        <v>98.33</v>
      </c>
    </row>
    <row r="307" spans="1:16">
      <c r="A307" s="515"/>
      <c r="B307" s="178" t="s">
        <v>989</v>
      </c>
      <c r="C307" s="179">
        <f>K307/F307</f>
        <v>9.4443333333333324E-2</v>
      </c>
      <c r="D307" s="179">
        <v>20</v>
      </c>
      <c r="E307" s="180"/>
      <c r="F307" s="181">
        <v>3000</v>
      </c>
      <c r="G307" s="180" t="s">
        <v>8</v>
      </c>
      <c r="H307" s="180">
        <v>30</v>
      </c>
      <c r="I307" s="180" t="s">
        <v>351</v>
      </c>
      <c r="J307" s="452">
        <v>283.33</v>
      </c>
      <c r="K307" s="452">
        <v>283.33</v>
      </c>
      <c r="L307" s="416">
        <v>45292</v>
      </c>
      <c r="O307" s="78">
        <v>283.33</v>
      </c>
      <c r="P307" s="78">
        <v>283.33</v>
      </c>
    </row>
    <row r="308" spans="1:16">
      <c r="A308" s="515"/>
      <c r="B308" s="178" t="s">
        <v>990</v>
      </c>
      <c r="C308" s="179">
        <f>K308/F308</f>
        <v>10.312000000000001</v>
      </c>
      <c r="D308" s="179">
        <v>1</v>
      </c>
      <c r="E308" s="180"/>
      <c r="F308" s="181">
        <v>25</v>
      </c>
      <c r="G308" s="180" t="s">
        <v>453</v>
      </c>
      <c r="H308" s="180">
        <v>16</v>
      </c>
      <c r="I308" s="180" t="s">
        <v>352</v>
      </c>
      <c r="J308" s="452">
        <v>257.8</v>
      </c>
      <c r="K308" s="452">
        <v>257.8</v>
      </c>
      <c r="L308" s="416">
        <v>45292</v>
      </c>
      <c r="O308" s="78">
        <v>257.8</v>
      </c>
      <c r="P308" s="78">
        <v>257.8</v>
      </c>
    </row>
    <row r="309" spans="1:16">
      <c r="A309" s="515"/>
      <c r="B309" s="178"/>
      <c r="C309" s="179"/>
      <c r="D309" s="179"/>
      <c r="E309" s="180"/>
      <c r="F309" s="181"/>
      <c r="G309" s="180"/>
      <c r="H309" s="180"/>
      <c r="I309" s="180"/>
      <c r="J309" s="182"/>
      <c r="K309" s="182"/>
      <c r="L309" s="160"/>
    </row>
    <row r="310" spans="1:16">
      <c r="A310" s="77"/>
      <c r="B310" s="104"/>
      <c r="C310" s="78"/>
      <c r="D310" s="78"/>
      <c r="E310" s="78"/>
      <c r="F310" s="87"/>
      <c r="G310" s="78"/>
      <c r="J310" s="78"/>
      <c r="K310" s="78"/>
    </row>
    <row r="311" spans="1:16">
      <c r="A311" s="516" t="s">
        <v>991</v>
      </c>
      <c r="B311" s="178" t="s">
        <v>992</v>
      </c>
      <c r="C311" s="179">
        <f>K311/F311</f>
        <v>2.17</v>
      </c>
      <c r="D311" s="179">
        <v>8</v>
      </c>
      <c r="E311" s="180"/>
      <c r="F311" s="181">
        <v>10</v>
      </c>
      <c r="G311" s="180" t="s">
        <v>5</v>
      </c>
      <c r="H311" s="180">
        <v>480</v>
      </c>
      <c r="I311" s="180" t="s">
        <v>346</v>
      </c>
      <c r="J311" s="452">
        <v>23.44</v>
      </c>
      <c r="K311" s="452">
        <v>21.7</v>
      </c>
      <c r="L311" s="416">
        <v>45292</v>
      </c>
      <c r="M311" s="136"/>
      <c r="O311" s="78">
        <v>23.9</v>
      </c>
      <c r="P311" s="78">
        <v>23.9</v>
      </c>
    </row>
    <row r="312" spans="1:16">
      <c r="A312" s="516"/>
      <c r="B312" s="178" t="s">
        <v>993</v>
      </c>
      <c r="C312" s="179">
        <f>K312/F312</f>
        <v>0.54400000000000004</v>
      </c>
      <c r="D312" s="179">
        <v>42.5</v>
      </c>
      <c r="E312" s="180"/>
      <c r="F312" s="181">
        <v>25</v>
      </c>
      <c r="G312" s="180" t="s">
        <v>5</v>
      </c>
      <c r="H312" s="180">
        <v>1500</v>
      </c>
      <c r="I312" s="180" t="s">
        <v>346</v>
      </c>
      <c r="J312" s="182">
        <v>13.6</v>
      </c>
      <c r="K312" s="182">
        <v>13.6</v>
      </c>
      <c r="L312" s="160">
        <v>45017</v>
      </c>
      <c r="M312" s="136"/>
      <c r="O312" s="78">
        <v>13.6</v>
      </c>
      <c r="P312" s="78">
        <v>13.6</v>
      </c>
    </row>
    <row r="313" spans="1:16">
      <c r="A313" s="77"/>
      <c r="B313" s="104"/>
      <c r="C313" s="78"/>
      <c r="D313" s="78"/>
      <c r="E313" s="78"/>
      <c r="F313" s="87"/>
      <c r="G313" s="78"/>
      <c r="J313" s="78"/>
      <c r="K313" s="78"/>
    </row>
    <row r="314" spans="1:16">
      <c r="A314" s="513" t="s">
        <v>994</v>
      </c>
      <c r="B314" s="165" t="s">
        <v>969</v>
      </c>
      <c r="C314" s="166">
        <f t="shared" ref="C314:C317" si="34">K314/F314</f>
        <v>1.8963999999999999</v>
      </c>
      <c r="D314" s="166">
        <v>5.5</v>
      </c>
      <c r="E314" s="167"/>
      <c r="F314" s="168">
        <v>25</v>
      </c>
      <c r="G314" s="167" t="s">
        <v>5</v>
      </c>
      <c r="H314" s="167">
        <v>1200</v>
      </c>
      <c r="I314" s="167" t="s">
        <v>346</v>
      </c>
      <c r="J314" s="437">
        <f>J192</f>
        <v>51.2</v>
      </c>
      <c r="K314" s="437">
        <f>K192</f>
        <v>47.41</v>
      </c>
      <c r="L314" s="416">
        <v>45292</v>
      </c>
      <c r="O314" s="78">
        <v>49.71</v>
      </c>
      <c r="P314" s="78">
        <v>46.94</v>
      </c>
    </row>
    <row r="315" spans="1:16">
      <c r="A315" s="513"/>
      <c r="B315" s="165" t="s">
        <v>970</v>
      </c>
      <c r="C315" s="166">
        <f t="shared" si="34"/>
        <v>1.8675999999999999</v>
      </c>
      <c r="D315" s="166">
        <v>5.5</v>
      </c>
      <c r="E315" s="167"/>
      <c r="F315" s="168">
        <v>25</v>
      </c>
      <c r="G315" s="167" t="s">
        <v>5</v>
      </c>
      <c r="H315" s="167">
        <v>1200</v>
      </c>
      <c r="I315" s="167" t="s">
        <v>346</v>
      </c>
      <c r="J315" s="437">
        <f>J193</f>
        <v>50.43</v>
      </c>
      <c r="K315" s="437">
        <f>K193</f>
        <v>46.69</v>
      </c>
      <c r="L315" s="416">
        <v>45292</v>
      </c>
      <c r="O315" s="78">
        <v>49</v>
      </c>
      <c r="P315" s="78">
        <v>46.23</v>
      </c>
    </row>
    <row r="316" spans="1:16">
      <c r="A316" s="513"/>
      <c r="B316" s="165" t="s">
        <v>977</v>
      </c>
      <c r="C316" s="166">
        <f t="shared" si="34"/>
        <v>2.2431999999999999</v>
      </c>
      <c r="D316" s="166">
        <v>5.4</v>
      </c>
      <c r="E316" s="167"/>
      <c r="F316" s="168">
        <v>25</v>
      </c>
      <c r="G316" s="167" t="s">
        <v>5</v>
      </c>
      <c r="H316" s="167">
        <v>1200</v>
      </c>
      <c r="I316" s="167" t="s">
        <v>346</v>
      </c>
      <c r="J316" s="437">
        <f>J200</f>
        <v>60.56</v>
      </c>
      <c r="K316" s="437">
        <f>K200</f>
        <v>56.08</v>
      </c>
      <c r="L316" s="416">
        <v>45292</v>
      </c>
      <c r="O316" s="78">
        <v>58.86</v>
      </c>
      <c r="P316" s="78">
        <v>55.52</v>
      </c>
    </row>
    <row r="317" spans="1:16">
      <c r="A317" s="513"/>
      <c r="B317" s="165" t="s">
        <v>978</v>
      </c>
      <c r="C317" s="166">
        <f t="shared" si="34"/>
        <v>2.1996000000000002</v>
      </c>
      <c r="D317" s="166">
        <v>5.4</v>
      </c>
      <c r="E317" s="167"/>
      <c r="F317" s="168">
        <v>25</v>
      </c>
      <c r="G317" s="167" t="s">
        <v>5</v>
      </c>
      <c r="H317" s="167">
        <v>1200</v>
      </c>
      <c r="I317" s="167" t="s">
        <v>346</v>
      </c>
      <c r="J317" s="437">
        <f>J201</f>
        <v>59.39</v>
      </c>
      <c r="K317" s="437">
        <f>K201</f>
        <v>54.99</v>
      </c>
      <c r="L317" s="416">
        <v>45292</v>
      </c>
      <c r="O317" s="78">
        <v>57.61</v>
      </c>
      <c r="P317" s="78">
        <v>54.45</v>
      </c>
    </row>
    <row r="318" spans="1:16">
      <c r="A318" s="77"/>
      <c r="B318" s="104"/>
      <c r="C318" s="78"/>
      <c r="D318" s="78"/>
      <c r="E318" s="78"/>
      <c r="F318" s="87"/>
      <c r="G318" s="78"/>
      <c r="J318" s="78"/>
      <c r="K318" s="78"/>
    </row>
    <row r="319" spans="1:16">
      <c r="A319" s="77"/>
      <c r="B319" s="104"/>
      <c r="C319" s="78"/>
      <c r="D319" s="78"/>
      <c r="E319" s="78"/>
      <c r="F319" s="87"/>
      <c r="G319" s="78"/>
      <c r="J319" s="78"/>
      <c r="K319" s="78"/>
    </row>
    <row r="320" spans="1:16">
      <c r="A320" s="77"/>
      <c r="B320" s="104"/>
      <c r="C320" s="78"/>
      <c r="D320" s="78"/>
      <c r="E320" s="78"/>
      <c r="F320" s="87"/>
      <c r="G320" s="78"/>
      <c r="J320" s="78"/>
      <c r="K320" s="78"/>
    </row>
    <row r="321" spans="1:11">
      <c r="A321" s="77"/>
      <c r="B321" s="104"/>
      <c r="C321" s="78"/>
      <c r="D321" s="78"/>
      <c r="E321" s="78"/>
      <c r="F321" s="87"/>
      <c r="G321" s="78"/>
      <c r="J321" s="78"/>
      <c r="K321" s="78"/>
    </row>
    <row r="322" spans="1:11">
      <c r="A322" s="77"/>
      <c r="B322" s="104"/>
      <c r="C322" s="78"/>
      <c r="D322" s="78"/>
      <c r="E322" s="78"/>
      <c r="F322" s="87"/>
      <c r="G322" s="78"/>
      <c r="J322" s="78"/>
      <c r="K322" s="78"/>
    </row>
    <row r="323" spans="1:11">
      <c r="A323" s="77"/>
      <c r="B323" s="104"/>
      <c r="C323" s="78"/>
      <c r="D323" s="78"/>
      <c r="E323" s="78"/>
      <c r="F323" s="87"/>
      <c r="G323" s="78"/>
      <c r="J323" s="78"/>
      <c r="K323" s="78"/>
    </row>
    <row r="324" spans="1:11">
      <c r="A324" s="77"/>
      <c r="B324" s="104"/>
      <c r="C324" s="78"/>
      <c r="D324" s="78"/>
      <c r="E324" s="78"/>
      <c r="F324" s="87"/>
      <c r="G324" s="78"/>
      <c r="J324" s="78"/>
      <c r="K324" s="78"/>
    </row>
    <row r="325" spans="1:11">
      <c r="A325" s="77"/>
      <c r="B325" s="104"/>
      <c r="C325" s="78"/>
      <c r="D325" s="78"/>
      <c r="E325" s="78"/>
      <c r="F325" s="87"/>
      <c r="G325" s="78"/>
      <c r="J325" s="78"/>
      <c r="K325" s="78"/>
    </row>
    <row r="326" spans="1:11">
      <c r="A326" s="77"/>
      <c r="B326" s="104"/>
      <c r="C326" s="78"/>
      <c r="D326" s="78"/>
      <c r="E326" s="78"/>
      <c r="F326" s="87"/>
      <c r="G326" s="78"/>
      <c r="J326" s="78"/>
      <c r="K326" s="78"/>
    </row>
    <row r="327" spans="1:11">
      <c r="A327" s="77"/>
      <c r="B327" s="104"/>
      <c r="C327" s="78"/>
      <c r="D327" s="78"/>
      <c r="E327" s="78"/>
      <c r="F327" s="87"/>
      <c r="G327" s="78"/>
      <c r="J327" s="78"/>
      <c r="K327" s="78"/>
    </row>
    <row r="328" spans="1:11">
      <c r="A328" s="77"/>
      <c r="B328" s="104"/>
      <c r="C328" s="78"/>
      <c r="D328" s="78"/>
      <c r="E328" s="78"/>
      <c r="F328" s="87"/>
      <c r="G328" s="78"/>
      <c r="J328" s="78"/>
      <c r="K328" s="78"/>
    </row>
    <row r="329" spans="1:11">
      <c r="A329" s="77"/>
      <c r="B329" s="104"/>
      <c r="C329" s="78"/>
      <c r="D329" s="78"/>
      <c r="E329" s="78"/>
      <c r="F329" s="87"/>
      <c r="G329" s="78"/>
      <c r="J329" s="78"/>
      <c r="K329" s="78"/>
    </row>
    <row r="330" spans="1:11">
      <c r="A330" s="77"/>
      <c r="B330" s="104"/>
      <c r="C330" s="78"/>
      <c r="D330" s="78"/>
      <c r="E330" s="78"/>
      <c r="F330" s="87"/>
      <c r="G330" s="78"/>
      <c r="J330" s="78"/>
      <c r="K330" s="78"/>
    </row>
    <row r="331" spans="1:11">
      <c r="A331" s="77"/>
      <c r="B331" s="104"/>
      <c r="C331" s="78"/>
      <c r="D331" s="78"/>
      <c r="E331" s="78"/>
      <c r="F331" s="87"/>
      <c r="G331" s="78"/>
      <c r="J331" s="78"/>
      <c r="K331" s="78"/>
    </row>
    <row r="332" spans="1:11">
      <c r="A332" s="77"/>
      <c r="B332" s="104"/>
      <c r="C332" s="78"/>
      <c r="D332" s="78"/>
      <c r="E332" s="78"/>
      <c r="F332" s="87"/>
      <c r="G332" s="78"/>
      <c r="J332" s="78"/>
      <c r="K332" s="78"/>
    </row>
    <row r="333" spans="1:11">
      <c r="A333" s="77"/>
      <c r="B333" s="104"/>
      <c r="C333" s="78"/>
      <c r="D333" s="78"/>
      <c r="E333" s="78"/>
      <c r="F333" s="87"/>
      <c r="G333" s="78"/>
      <c r="J333" s="78"/>
      <c r="K333" s="78"/>
    </row>
    <row r="334" spans="1:11">
      <c r="A334" s="77"/>
      <c r="B334" s="104"/>
      <c r="C334" s="78"/>
      <c r="D334" s="78"/>
      <c r="E334" s="78"/>
      <c r="F334" s="87"/>
      <c r="G334" s="78"/>
      <c r="J334" s="78"/>
      <c r="K334" s="78"/>
    </row>
    <row r="335" spans="1:11">
      <c r="A335" s="77"/>
      <c r="B335" s="104"/>
      <c r="C335" s="78"/>
      <c r="D335" s="78"/>
      <c r="E335" s="78"/>
      <c r="F335" s="87"/>
      <c r="G335" s="78"/>
      <c r="J335" s="78"/>
      <c r="K335" s="78"/>
    </row>
    <row r="336" spans="1:11">
      <c r="A336" s="77"/>
      <c r="B336" s="104"/>
      <c r="C336" s="78"/>
      <c r="D336" s="78"/>
      <c r="E336" s="78"/>
      <c r="F336" s="87"/>
      <c r="G336" s="78"/>
      <c r="J336" s="78"/>
      <c r="K336" s="78"/>
    </row>
    <row r="337" spans="1:11">
      <c r="A337" s="77"/>
      <c r="B337" s="104"/>
      <c r="C337" s="78"/>
      <c r="D337" s="78"/>
      <c r="E337" s="78"/>
      <c r="F337" s="87"/>
      <c r="G337" s="78"/>
      <c r="J337" s="78"/>
      <c r="K337" s="78"/>
    </row>
    <row r="338" spans="1:11">
      <c r="A338" s="77"/>
      <c r="B338" s="104"/>
      <c r="C338" s="78"/>
      <c r="D338" s="78"/>
      <c r="E338" s="78"/>
      <c r="F338" s="87"/>
      <c r="G338" s="78"/>
      <c r="J338" s="78"/>
      <c r="K338" s="78"/>
    </row>
    <row r="339" spans="1:11">
      <c r="A339" s="77"/>
      <c r="B339" s="104"/>
      <c r="C339" s="78"/>
      <c r="D339" s="78"/>
      <c r="E339" s="78"/>
      <c r="F339" s="87"/>
      <c r="G339" s="78"/>
      <c r="J339" s="78"/>
      <c r="K339" s="78"/>
    </row>
    <row r="340" spans="1:11">
      <c r="A340" s="77"/>
      <c r="B340" s="104"/>
      <c r="C340" s="78"/>
      <c r="D340" s="78"/>
      <c r="E340" s="78"/>
      <c r="F340" s="87"/>
      <c r="G340" s="78"/>
      <c r="J340" s="78"/>
      <c r="K340" s="78"/>
    </row>
    <row r="341" spans="1:11">
      <c r="A341" s="77"/>
      <c r="B341" s="104"/>
      <c r="C341" s="78"/>
      <c r="D341" s="78"/>
      <c r="E341" s="78"/>
      <c r="F341" s="87"/>
      <c r="G341" s="78"/>
      <c r="J341" s="78"/>
      <c r="K341" s="78"/>
    </row>
    <row r="342" spans="1:11">
      <c r="A342" s="77"/>
      <c r="B342" s="104"/>
      <c r="C342" s="78"/>
      <c r="D342" s="78"/>
      <c r="E342" s="78"/>
      <c r="F342" s="87"/>
      <c r="G342" s="78"/>
      <c r="J342" s="78"/>
      <c r="K342" s="78"/>
    </row>
    <row r="343" spans="1:11">
      <c r="A343" s="77"/>
      <c r="B343" s="104"/>
      <c r="C343" s="78"/>
      <c r="D343" s="78"/>
      <c r="E343" s="78"/>
      <c r="F343" s="87"/>
      <c r="G343" s="78"/>
      <c r="J343" s="78"/>
      <c r="K343" s="78"/>
    </row>
    <row r="344" spans="1:11">
      <c r="A344" s="77"/>
      <c r="B344" s="104"/>
      <c r="C344" s="78"/>
      <c r="D344" s="78"/>
      <c r="E344" s="78"/>
      <c r="F344" s="87"/>
      <c r="G344" s="78"/>
      <c r="J344" s="78"/>
      <c r="K344" s="78"/>
    </row>
    <row r="345" spans="1:11">
      <c r="A345" s="77"/>
      <c r="B345" s="104"/>
      <c r="C345" s="78"/>
      <c r="D345" s="78"/>
      <c r="E345" s="78"/>
      <c r="F345" s="87"/>
      <c r="G345" s="78"/>
      <c r="J345" s="78"/>
      <c r="K345" s="78"/>
    </row>
    <row r="346" spans="1:11">
      <c r="A346" s="77"/>
      <c r="B346" s="104"/>
      <c r="C346" s="78"/>
      <c r="D346" s="78"/>
      <c r="E346" s="78"/>
      <c r="F346" s="87"/>
      <c r="G346" s="78"/>
      <c r="J346" s="78"/>
      <c r="K346" s="78"/>
    </row>
    <row r="347" spans="1:11">
      <c r="A347" s="77"/>
      <c r="B347" s="104"/>
      <c r="C347" s="78"/>
      <c r="D347" s="78"/>
      <c r="E347" s="78"/>
      <c r="F347" s="87"/>
      <c r="G347" s="78"/>
      <c r="J347" s="78"/>
      <c r="K347" s="78"/>
    </row>
    <row r="348" spans="1:11">
      <c r="A348" s="77"/>
      <c r="B348" s="104"/>
      <c r="C348" s="78"/>
      <c r="D348" s="78"/>
      <c r="E348" s="78"/>
      <c r="F348" s="87"/>
      <c r="G348" s="78"/>
      <c r="J348" s="78"/>
      <c r="K348" s="78"/>
    </row>
    <row r="349" spans="1:11">
      <c r="A349" s="77"/>
      <c r="B349" s="104"/>
      <c r="C349" s="78"/>
      <c r="D349" s="78"/>
      <c r="E349" s="78"/>
      <c r="F349" s="87"/>
      <c r="G349" s="78"/>
      <c r="J349" s="78"/>
      <c r="K349" s="78"/>
    </row>
    <row r="350" spans="1:11">
      <c r="A350" s="77"/>
      <c r="B350" s="104"/>
      <c r="C350" s="78"/>
      <c r="D350" s="78"/>
      <c r="E350" s="78"/>
      <c r="F350" s="87"/>
      <c r="G350" s="78"/>
      <c r="J350" s="78"/>
      <c r="K350" s="78"/>
    </row>
    <row r="351" spans="1:11">
      <c r="A351" s="77"/>
      <c r="B351" s="104"/>
      <c r="C351" s="78"/>
      <c r="D351" s="78"/>
      <c r="E351" s="78"/>
      <c r="F351" s="87"/>
      <c r="G351" s="78"/>
      <c r="J351" s="78"/>
      <c r="K351" s="78"/>
    </row>
    <row r="352" spans="1:11">
      <c r="A352" s="77"/>
      <c r="B352" s="104"/>
      <c r="C352" s="78"/>
      <c r="D352" s="78"/>
      <c r="E352" s="78"/>
      <c r="F352" s="87"/>
      <c r="G352" s="78"/>
      <c r="J352" s="78"/>
      <c r="K352" s="78"/>
    </row>
    <row r="353" spans="1:11">
      <c r="A353" s="77"/>
      <c r="B353" s="104"/>
      <c r="C353" s="78"/>
      <c r="D353" s="78"/>
      <c r="E353" s="78"/>
      <c r="F353" s="87"/>
      <c r="G353" s="78"/>
      <c r="J353" s="78"/>
      <c r="K353" s="78"/>
    </row>
    <row r="354" spans="1:11">
      <c r="A354" s="77"/>
      <c r="B354" s="104"/>
      <c r="C354" s="78"/>
      <c r="D354" s="78"/>
      <c r="E354" s="78"/>
      <c r="F354" s="87"/>
      <c r="G354" s="78"/>
      <c r="J354" s="78"/>
      <c r="K354" s="78"/>
    </row>
    <row r="355" spans="1:11">
      <c r="A355" s="77"/>
      <c r="B355" s="104"/>
      <c r="C355" s="78"/>
      <c r="D355" s="78"/>
      <c r="E355" s="78"/>
      <c r="F355" s="87"/>
      <c r="G355" s="78"/>
      <c r="J355" s="78"/>
      <c r="K355" s="78"/>
    </row>
    <row r="356" spans="1:11">
      <c r="A356" s="77"/>
      <c r="B356" s="104"/>
      <c r="C356" s="78"/>
      <c r="D356" s="78"/>
      <c r="E356" s="78"/>
      <c r="F356" s="87"/>
      <c r="G356" s="78"/>
      <c r="J356" s="78"/>
      <c r="K356" s="78"/>
    </row>
    <row r="357" spans="1:11">
      <c r="A357" s="77"/>
      <c r="B357" s="104"/>
      <c r="C357" s="78"/>
      <c r="D357" s="78"/>
      <c r="E357" s="78"/>
      <c r="F357" s="87"/>
      <c r="G357" s="78"/>
      <c r="J357" s="78"/>
      <c r="K357" s="78"/>
    </row>
    <row r="358" spans="1:11">
      <c r="A358" s="77"/>
      <c r="B358" s="104"/>
      <c r="C358" s="78"/>
      <c r="D358" s="78"/>
      <c r="E358" s="78"/>
      <c r="F358" s="87"/>
      <c r="G358" s="78"/>
      <c r="J358" s="78"/>
      <c r="K358" s="78"/>
    </row>
    <row r="359" spans="1:11">
      <c r="A359" s="77"/>
      <c r="B359" s="104"/>
      <c r="C359" s="78"/>
      <c r="D359" s="78"/>
      <c r="E359" s="78"/>
      <c r="F359" s="87"/>
      <c r="G359" s="78"/>
      <c r="J359" s="78"/>
      <c r="K359" s="78"/>
    </row>
    <row r="360" spans="1:11">
      <c r="A360" s="77"/>
      <c r="B360" s="104"/>
      <c r="C360" s="78"/>
      <c r="D360" s="78"/>
      <c r="E360" s="78"/>
      <c r="F360" s="87"/>
      <c r="G360" s="78"/>
      <c r="J360" s="78"/>
      <c r="K360" s="78"/>
    </row>
    <row r="361" spans="1:11">
      <c r="A361" s="77"/>
      <c r="B361" s="104"/>
      <c r="C361" s="78"/>
      <c r="D361" s="78"/>
      <c r="E361" s="78"/>
      <c r="F361" s="87"/>
      <c r="G361" s="78"/>
      <c r="J361" s="78"/>
      <c r="K361" s="78"/>
    </row>
    <row r="362" spans="1:11">
      <c r="A362" s="77"/>
      <c r="B362" s="104"/>
      <c r="C362" s="78"/>
      <c r="D362" s="78"/>
      <c r="E362" s="78"/>
      <c r="F362" s="87"/>
      <c r="G362" s="78"/>
      <c r="J362" s="78"/>
      <c r="K362" s="78"/>
    </row>
    <row r="363" spans="1:11">
      <c r="A363" s="77"/>
      <c r="B363" s="104"/>
      <c r="C363" s="78"/>
      <c r="D363" s="78"/>
      <c r="E363" s="78"/>
      <c r="F363" s="87"/>
      <c r="G363" s="78"/>
      <c r="J363" s="78"/>
      <c r="K363" s="78"/>
    </row>
    <row r="364" spans="1:11">
      <c r="A364" s="77"/>
      <c r="B364" s="104"/>
      <c r="C364" s="78"/>
      <c r="D364" s="78"/>
      <c r="E364" s="78"/>
      <c r="F364" s="87"/>
      <c r="G364" s="78"/>
      <c r="J364" s="78"/>
      <c r="K364" s="78"/>
    </row>
    <row r="365" spans="1:11">
      <c r="A365" s="77"/>
      <c r="B365" s="104"/>
      <c r="C365" s="78"/>
      <c r="D365" s="78"/>
      <c r="E365" s="78"/>
      <c r="F365" s="87"/>
      <c r="G365" s="78"/>
      <c r="J365" s="78"/>
      <c r="K365" s="78"/>
    </row>
    <row r="366" spans="1:11">
      <c r="A366" s="77"/>
      <c r="B366" s="104"/>
      <c r="C366" s="78"/>
      <c r="D366" s="78"/>
      <c r="E366" s="78"/>
      <c r="F366" s="87"/>
      <c r="G366" s="78"/>
      <c r="J366" s="78"/>
      <c r="K366" s="78"/>
    </row>
    <row r="367" spans="1:11">
      <c r="A367" s="77"/>
      <c r="B367" s="104"/>
      <c r="C367" s="78"/>
      <c r="D367" s="78"/>
      <c r="E367" s="78"/>
      <c r="F367" s="87"/>
      <c r="G367" s="78"/>
      <c r="J367" s="78"/>
      <c r="K367" s="78"/>
    </row>
    <row r="368" spans="1:11">
      <c r="A368" s="77"/>
      <c r="B368" s="104"/>
      <c r="C368" s="78"/>
      <c r="D368" s="78"/>
      <c r="E368" s="78"/>
      <c r="F368" s="87"/>
      <c r="G368" s="78"/>
      <c r="J368" s="78"/>
      <c r="K368" s="78"/>
    </row>
    <row r="369" spans="1:11">
      <c r="A369" s="77"/>
      <c r="B369" s="104"/>
      <c r="C369" s="78"/>
      <c r="D369" s="78"/>
      <c r="E369" s="78"/>
      <c r="F369" s="87"/>
      <c r="G369" s="78"/>
      <c r="J369" s="78"/>
      <c r="K369" s="78"/>
    </row>
    <row r="370" spans="1:11">
      <c r="A370" s="77"/>
      <c r="B370" s="104"/>
      <c r="C370" s="78"/>
      <c r="D370" s="78"/>
      <c r="E370" s="78"/>
      <c r="F370" s="87"/>
      <c r="G370" s="78"/>
      <c r="J370" s="78"/>
      <c r="K370" s="78"/>
    </row>
    <row r="371" spans="1:11">
      <c r="A371" s="77"/>
      <c r="B371" s="104"/>
      <c r="C371" s="78"/>
      <c r="D371" s="78"/>
      <c r="E371" s="78"/>
      <c r="F371" s="87"/>
      <c r="G371" s="78"/>
      <c r="J371" s="78"/>
      <c r="K371" s="78"/>
    </row>
    <row r="372" spans="1:11">
      <c r="A372" s="77"/>
      <c r="B372" s="104"/>
      <c r="C372" s="78"/>
      <c r="D372" s="78"/>
      <c r="E372" s="78"/>
      <c r="F372" s="87"/>
      <c r="G372" s="78"/>
      <c r="J372" s="78"/>
      <c r="K372" s="78"/>
    </row>
    <row r="373" spans="1:11">
      <c r="A373" s="77"/>
      <c r="B373" s="104"/>
      <c r="C373" s="78"/>
      <c r="D373" s="78"/>
      <c r="E373" s="78"/>
      <c r="F373" s="87"/>
      <c r="G373" s="78"/>
      <c r="J373" s="78"/>
      <c r="K373" s="78"/>
    </row>
    <row r="374" spans="1:11">
      <c r="A374" s="77"/>
      <c r="B374" s="104"/>
      <c r="C374" s="78"/>
      <c r="D374" s="78"/>
      <c r="E374" s="78"/>
      <c r="F374" s="87"/>
      <c r="G374" s="78"/>
      <c r="J374" s="78"/>
      <c r="K374" s="78"/>
    </row>
    <row r="375" spans="1:11">
      <c r="A375" s="77"/>
      <c r="B375" s="104"/>
      <c r="C375" s="78"/>
      <c r="D375" s="78"/>
      <c r="E375" s="78"/>
      <c r="F375" s="87"/>
      <c r="G375" s="78"/>
      <c r="J375" s="78"/>
      <c r="K375" s="78"/>
    </row>
    <row r="376" spans="1:11">
      <c r="A376" s="77"/>
      <c r="B376" s="104"/>
      <c r="C376" s="78"/>
      <c r="D376" s="78"/>
      <c r="E376" s="78"/>
      <c r="F376" s="87"/>
      <c r="G376" s="78"/>
      <c r="J376" s="78"/>
      <c r="K376" s="78"/>
    </row>
    <row r="377" spans="1:11">
      <c r="A377" s="77"/>
      <c r="B377" s="104"/>
      <c r="C377" s="78"/>
      <c r="D377" s="78"/>
      <c r="E377" s="78"/>
      <c r="F377" s="87"/>
      <c r="G377" s="78"/>
      <c r="J377" s="78"/>
      <c r="K377" s="78"/>
    </row>
    <row r="378" spans="1:11">
      <c r="A378" s="77"/>
      <c r="B378" s="104"/>
      <c r="C378" s="78"/>
      <c r="D378" s="78"/>
      <c r="E378" s="78"/>
      <c r="F378" s="87"/>
      <c r="G378" s="78"/>
      <c r="J378" s="78"/>
      <c r="K378" s="78"/>
    </row>
    <row r="379" spans="1:11">
      <c r="A379" s="77"/>
      <c r="B379" s="104"/>
      <c r="C379" s="78"/>
      <c r="D379" s="78"/>
      <c r="E379" s="78"/>
      <c r="F379" s="87"/>
      <c r="G379" s="78"/>
      <c r="J379" s="78"/>
      <c r="K379" s="78"/>
    </row>
    <row r="380" spans="1:11">
      <c r="A380" s="77"/>
      <c r="B380" s="104"/>
      <c r="C380" s="78"/>
      <c r="D380" s="78"/>
      <c r="E380" s="78"/>
      <c r="F380" s="87"/>
      <c r="G380" s="78"/>
      <c r="J380" s="78"/>
      <c r="K380" s="78"/>
    </row>
    <row r="381" spans="1:11">
      <c r="A381" s="77"/>
      <c r="B381" s="104"/>
      <c r="C381" s="78"/>
      <c r="D381" s="78"/>
      <c r="E381" s="78"/>
      <c r="F381" s="87"/>
      <c r="G381" s="78"/>
      <c r="J381" s="78"/>
      <c r="K381" s="78"/>
    </row>
    <row r="382" spans="1:11">
      <c r="A382" s="77"/>
      <c r="B382" s="104"/>
      <c r="C382" s="78"/>
      <c r="D382" s="78"/>
      <c r="E382" s="78"/>
      <c r="F382" s="87"/>
      <c r="G382" s="78"/>
      <c r="J382" s="78"/>
      <c r="K382" s="78"/>
    </row>
    <row r="383" spans="1:11">
      <c r="A383" s="77"/>
      <c r="B383" s="104"/>
      <c r="C383" s="78"/>
      <c r="D383" s="78"/>
      <c r="E383" s="78"/>
      <c r="F383" s="87"/>
      <c r="G383" s="78"/>
      <c r="J383" s="78"/>
      <c r="K383" s="78"/>
    </row>
    <row r="384" spans="1:11">
      <c r="A384" s="77"/>
      <c r="B384" s="104"/>
      <c r="C384" s="78"/>
      <c r="D384" s="78"/>
      <c r="E384" s="78"/>
      <c r="F384" s="87"/>
      <c r="G384" s="78"/>
      <c r="J384" s="78"/>
      <c r="K384" s="78"/>
    </row>
    <row r="385" spans="1:11">
      <c r="A385" s="77"/>
      <c r="B385" s="104"/>
      <c r="C385" s="78"/>
      <c r="D385" s="78"/>
      <c r="E385" s="78"/>
      <c r="F385" s="87"/>
      <c r="G385" s="78"/>
      <c r="J385" s="78"/>
      <c r="K385" s="78"/>
    </row>
    <row r="386" spans="1:11">
      <c r="A386" s="77"/>
      <c r="B386" s="104"/>
      <c r="C386" s="78"/>
      <c r="D386" s="78"/>
      <c r="E386" s="78"/>
      <c r="F386" s="87"/>
      <c r="G386" s="78"/>
      <c r="J386" s="78"/>
      <c r="K386" s="78"/>
    </row>
    <row r="387" spans="1:11">
      <c r="A387" s="77"/>
      <c r="B387" s="104"/>
      <c r="C387" s="78"/>
      <c r="D387" s="78"/>
      <c r="E387" s="78"/>
      <c r="F387" s="87"/>
      <c r="G387" s="78"/>
      <c r="J387" s="78"/>
      <c r="K387" s="78"/>
    </row>
    <row r="388" spans="1:11">
      <c r="A388" s="77"/>
      <c r="B388" s="104"/>
      <c r="C388" s="78"/>
      <c r="D388" s="78"/>
      <c r="E388" s="78"/>
      <c r="F388" s="87"/>
      <c r="G388" s="78"/>
      <c r="J388" s="78"/>
      <c r="K388" s="78"/>
    </row>
    <row r="389" spans="1:11">
      <c r="A389" s="77"/>
      <c r="B389" s="104"/>
      <c r="C389" s="78"/>
      <c r="D389" s="78"/>
      <c r="E389" s="78"/>
      <c r="F389" s="87"/>
      <c r="G389" s="78"/>
      <c r="J389" s="78"/>
      <c r="K389" s="78"/>
    </row>
    <row r="390" spans="1:11">
      <c r="A390" s="77"/>
      <c r="B390" s="104"/>
      <c r="C390" s="78"/>
      <c r="D390" s="78"/>
      <c r="E390" s="78"/>
      <c r="F390" s="87"/>
      <c r="G390" s="78"/>
      <c r="J390" s="78"/>
      <c r="K390" s="78"/>
    </row>
    <row r="391" spans="1:11">
      <c r="A391" s="77"/>
      <c r="B391" s="104"/>
      <c r="C391" s="78"/>
      <c r="D391" s="78"/>
      <c r="E391" s="78"/>
      <c r="F391" s="87"/>
      <c r="G391" s="78"/>
      <c r="J391" s="78"/>
      <c r="K391" s="78"/>
    </row>
    <row r="392" spans="1:11">
      <c r="A392" s="77"/>
      <c r="B392" s="104"/>
      <c r="C392" s="78"/>
      <c r="D392" s="78"/>
      <c r="E392" s="78"/>
      <c r="F392" s="87"/>
      <c r="G392" s="78"/>
      <c r="J392" s="78"/>
      <c r="K392" s="78"/>
    </row>
    <row r="393" spans="1:11">
      <c r="A393" s="77"/>
      <c r="B393" s="104"/>
      <c r="C393" s="78"/>
      <c r="D393" s="78"/>
      <c r="E393" s="78"/>
      <c r="F393" s="87"/>
      <c r="G393" s="78"/>
      <c r="J393" s="78"/>
      <c r="K393" s="78"/>
    </row>
    <row r="394" spans="1:11">
      <c r="A394" s="77"/>
      <c r="B394" s="104"/>
      <c r="C394" s="78"/>
      <c r="D394" s="78"/>
      <c r="E394" s="78"/>
      <c r="F394" s="87"/>
      <c r="G394" s="78"/>
      <c r="J394" s="78"/>
      <c r="K394" s="78"/>
    </row>
    <row r="395" spans="1:11">
      <c r="A395" s="77"/>
      <c r="B395" s="104"/>
      <c r="C395" s="78"/>
      <c r="D395" s="78"/>
      <c r="E395" s="78"/>
      <c r="F395" s="87"/>
      <c r="G395" s="78"/>
      <c r="J395" s="78"/>
      <c r="K395" s="78"/>
    </row>
    <row r="396" spans="1:11">
      <c r="A396" s="77"/>
      <c r="B396" s="104"/>
      <c r="C396" s="78"/>
      <c r="D396" s="78"/>
      <c r="E396" s="78"/>
      <c r="F396" s="87"/>
      <c r="G396" s="78"/>
      <c r="J396" s="78"/>
      <c r="K396" s="78"/>
    </row>
    <row r="397" spans="1:11">
      <c r="A397" s="77"/>
      <c r="B397" s="104"/>
      <c r="C397" s="78"/>
      <c r="D397" s="78"/>
      <c r="E397" s="78"/>
      <c r="F397" s="87"/>
      <c r="G397" s="78"/>
      <c r="J397" s="78"/>
      <c r="K397" s="78"/>
    </row>
    <row r="398" spans="1:11">
      <c r="A398" s="77"/>
      <c r="B398" s="104"/>
      <c r="C398" s="78"/>
      <c r="D398" s="78"/>
      <c r="E398" s="78"/>
      <c r="F398" s="87"/>
      <c r="G398" s="78"/>
      <c r="J398" s="78"/>
      <c r="K398" s="78"/>
    </row>
    <row r="399" spans="1:11">
      <c r="A399" s="77"/>
      <c r="B399" s="104"/>
      <c r="C399" s="78"/>
      <c r="D399" s="78"/>
      <c r="E399" s="78"/>
      <c r="F399" s="87"/>
      <c r="G399" s="78"/>
      <c r="J399" s="78"/>
      <c r="K399" s="78"/>
    </row>
    <row r="400" spans="1:11">
      <c r="A400" s="77"/>
      <c r="B400" s="104"/>
      <c r="C400" s="78"/>
      <c r="D400" s="78"/>
      <c r="E400" s="78"/>
      <c r="F400" s="87"/>
      <c r="G400" s="78"/>
      <c r="J400" s="78"/>
      <c r="K400" s="78"/>
    </row>
    <row r="401" spans="1:11">
      <c r="A401" s="77"/>
      <c r="B401" s="104"/>
      <c r="C401" s="78"/>
      <c r="D401" s="78"/>
      <c r="E401" s="78"/>
      <c r="F401" s="87"/>
      <c r="G401" s="78"/>
      <c r="J401" s="78"/>
      <c r="K401" s="78"/>
    </row>
    <row r="402" spans="1:11">
      <c r="A402" s="77"/>
      <c r="B402" s="104"/>
      <c r="C402" s="78"/>
      <c r="D402" s="78"/>
      <c r="E402" s="78"/>
      <c r="F402" s="87"/>
      <c r="G402" s="78"/>
      <c r="J402" s="78"/>
      <c r="K402" s="78"/>
    </row>
    <row r="403" spans="1:11">
      <c r="A403" s="77"/>
      <c r="B403" s="104"/>
      <c r="C403" s="78"/>
      <c r="D403" s="78"/>
      <c r="E403" s="78"/>
      <c r="F403" s="87"/>
      <c r="G403" s="78"/>
      <c r="J403" s="78"/>
      <c r="K403" s="78"/>
    </row>
    <row r="404" spans="1:11">
      <c r="A404" s="77"/>
      <c r="B404" s="104"/>
      <c r="C404" s="78"/>
      <c r="D404" s="78"/>
      <c r="E404" s="78"/>
      <c r="F404" s="87"/>
      <c r="G404" s="78"/>
      <c r="J404" s="78"/>
      <c r="K404" s="78"/>
    </row>
    <row r="405" spans="1:11">
      <c r="A405" s="77"/>
      <c r="B405" s="104"/>
      <c r="C405" s="78"/>
      <c r="D405" s="78"/>
      <c r="E405" s="78"/>
      <c r="F405" s="87"/>
      <c r="G405" s="78"/>
      <c r="J405" s="78"/>
      <c r="K405" s="78"/>
    </row>
    <row r="406" spans="1:11">
      <c r="A406" s="77"/>
      <c r="B406" s="104"/>
      <c r="C406" s="78"/>
      <c r="D406" s="78"/>
      <c r="E406" s="78"/>
      <c r="F406" s="87"/>
      <c r="G406" s="78"/>
      <c r="J406" s="78"/>
      <c r="K406" s="78"/>
    </row>
    <row r="407" spans="1:11">
      <c r="A407" s="77"/>
      <c r="B407" s="104"/>
      <c r="C407" s="78"/>
      <c r="D407" s="78"/>
      <c r="E407" s="78"/>
      <c r="F407" s="87"/>
      <c r="G407" s="78"/>
      <c r="J407" s="78"/>
      <c r="K407" s="78"/>
    </row>
    <row r="408" spans="1:11">
      <c r="A408" s="77"/>
      <c r="B408" s="104"/>
      <c r="C408" s="78"/>
      <c r="D408" s="78"/>
      <c r="E408" s="78"/>
      <c r="F408" s="87"/>
      <c r="G408" s="78"/>
      <c r="J408" s="78"/>
      <c r="K408" s="78"/>
    </row>
    <row r="409" spans="1:11">
      <c r="A409" s="77"/>
      <c r="B409" s="104"/>
      <c r="C409" s="78"/>
      <c r="D409" s="78"/>
      <c r="E409" s="78"/>
      <c r="F409" s="87"/>
      <c r="G409" s="78"/>
      <c r="J409" s="78"/>
      <c r="K409" s="78"/>
    </row>
    <row r="410" spans="1:11">
      <c r="A410" s="77"/>
      <c r="B410" s="104"/>
      <c r="C410" s="78"/>
      <c r="D410" s="78"/>
      <c r="E410" s="78"/>
      <c r="F410" s="87"/>
      <c r="G410" s="78"/>
      <c r="J410" s="78"/>
      <c r="K410" s="78"/>
    </row>
    <row r="411" spans="1:11">
      <c r="A411" s="77"/>
      <c r="B411" s="104"/>
      <c r="C411" s="78"/>
      <c r="D411" s="78"/>
      <c r="E411" s="78"/>
      <c r="F411" s="87"/>
      <c r="G411" s="78"/>
      <c r="J411" s="78"/>
      <c r="K411" s="78"/>
    </row>
    <row r="412" spans="1:11">
      <c r="A412" s="77"/>
      <c r="B412" s="104"/>
      <c r="C412" s="78"/>
      <c r="D412" s="78"/>
      <c r="E412" s="78"/>
      <c r="F412" s="87"/>
      <c r="G412" s="78"/>
      <c r="J412" s="78"/>
      <c r="K412" s="78"/>
    </row>
    <row r="413" spans="1:11">
      <c r="A413" s="77"/>
      <c r="B413" s="104"/>
      <c r="C413" s="78"/>
      <c r="D413" s="78"/>
      <c r="E413" s="78"/>
      <c r="F413" s="87"/>
      <c r="G413" s="78"/>
      <c r="J413" s="78"/>
      <c r="K413" s="78"/>
    </row>
    <row r="414" spans="1:11">
      <c r="A414" s="77"/>
      <c r="B414" s="104"/>
      <c r="C414" s="78"/>
      <c r="D414" s="78"/>
      <c r="E414" s="78"/>
      <c r="F414" s="87"/>
      <c r="G414" s="78"/>
      <c r="J414" s="78"/>
      <c r="K414" s="78"/>
    </row>
    <row r="415" spans="1:11">
      <c r="A415" s="77"/>
      <c r="B415" s="104"/>
      <c r="C415" s="78"/>
      <c r="D415" s="78"/>
      <c r="E415" s="78"/>
      <c r="F415" s="87"/>
      <c r="G415" s="78"/>
      <c r="J415" s="78"/>
      <c r="K415" s="78"/>
    </row>
    <row r="416" spans="1:11">
      <c r="A416" s="77"/>
      <c r="B416" s="104"/>
      <c r="C416" s="78"/>
      <c r="D416" s="78"/>
      <c r="E416" s="78"/>
      <c r="F416" s="87"/>
      <c r="G416" s="78"/>
      <c r="J416" s="78"/>
      <c r="K416" s="78"/>
    </row>
    <row r="417" spans="1:11">
      <c r="A417" s="77"/>
      <c r="B417" s="104"/>
      <c r="C417" s="78"/>
      <c r="D417" s="78"/>
      <c r="E417" s="78"/>
      <c r="F417" s="87"/>
      <c r="G417" s="78"/>
      <c r="J417" s="78"/>
      <c r="K417" s="78"/>
    </row>
    <row r="418" spans="1:11">
      <c r="A418" s="77"/>
      <c r="B418" s="104"/>
      <c r="C418" s="78"/>
      <c r="D418" s="78"/>
      <c r="E418" s="78"/>
      <c r="F418" s="87"/>
      <c r="G418" s="78"/>
      <c r="J418" s="78"/>
      <c r="K418" s="78"/>
    </row>
    <row r="419" spans="1:11">
      <c r="A419" s="77"/>
      <c r="B419" s="104"/>
      <c r="C419" s="78"/>
      <c r="D419" s="78"/>
      <c r="E419" s="78"/>
      <c r="F419" s="87"/>
      <c r="G419" s="78"/>
      <c r="J419" s="78"/>
      <c r="K419" s="78"/>
    </row>
    <row r="420" spans="1:11">
      <c r="A420" s="77"/>
      <c r="B420" s="104"/>
      <c r="C420" s="78"/>
      <c r="D420" s="78"/>
      <c r="E420" s="78"/>
      <c r="F420" s="87"/>
      <c r="G420" s="78"/>
      <c r="J420" s="78"/>
      <c r="K420" s="78"/>
    </row>
    <row r="421" spans="1:11">
      <c r="A421" s="77"/>
      <c r="B421" s="104"/>
      <c r="C421" s="78"/>
      <c r="D421" s="78"/>
      <c r="E421" s="78"/>
      <c r="F421" s="87"/>
      <c r="G421" s="78"/>
      <c r="J421" s="78"/>
      <c r="K421" s="78"/>
    </row>
    <row r="422" spans="1:11">
      <c r="A422" s="77"/>
      <c r="B422" s="104"/>
      <c r="C422" s="78"/>
      <c r="D422" s="78"/>
      <c r="E422" s="78"/>
      <c r="F422" s="87"/>
      <c r="G422" s="78"/>
      <c r="J422" s="78"/>
      <c r="K422" s="78"/>
    </row>
    <row r="423" spans="1:11">
      <c r="A423" s="77"/>
      <c r="B423" s="104"/>
      <c r="C423" s="78"/>
      <c r="D423" s="78"/>
      <c r="E423" s="78"/>
      <c r="F423" s="87"/>
      <c r="G423" s="78"/>
      <c r="J423" s="78"/>
      <c r="K423" s="78"/>
    </row>
    <row r="424" spans="1:11">
      <c r="A424" s="77"/>
      <c r="B424" s="104"/>
      <c r="C424" s="78"/>
      <c r="D424" s="78"/>
      <c r="E424" s="78"/>
      <c r="F424" s="87"/>
      <c r="G424" s="78"/>
      <c r="J424" s="78"/>
      <c r="K424" s="78"/>
    </row>
    <row r="425" spans="1:11">
      <c r="A425" s="77"/>
      <c r="B425" s="104"/>
      <c r="C425" s="78"/>
      <c r="D425" s="78"/>
      <c r="E425" s="78"/>
      <c r="F425" s="87"/>
      <c r="G425" s="78"/>
      <c r="J425" s="78"/>
      <c r="K425" s="78"/>
    </row>
    <row r="426" spans="1:11">
      <c r="A426" s="77"/>
      <c r="B426" s="104"/>
      <c r="C426" s="78"/>
      <c r="D426" s="78"/>
      <c r="E426" s="78"/>
      <c r="F426" s="87"/>
      <c r="G426" s="78"/>
      <c r="J426" s="78"/>
      <c r="K426" s="78"/>
    </row>
    <row r="427" spans="1:11">
      <c r="A427" s="77"/>
      <c r="B427" s="104"/>
      <c r="C427" s="78"/>
      <c r="D427" s="78"/>
      <c r="E427" s="78"/>
      <c r="F427" s="87"/>
      <c r="G427" s="78"/>
      <c r="J427" s="78"/>
      <c r="K427" s="78"/>
    </row>
    <row r="428" spans="1:11">
      <c r="A428" s="77"/>
      <c r="B428" s="104"/>
      <c r="C428" s="78"/>
      <c r="D428" s="78"/>
      <c r="E428" s="78"/>
      <c r="F428" s="87"/>
      <c r="G428" s="78"/>
      <c r="J428" s="78"/>
      <c r="K428" s="78"/>
    </row>
    <row r="429" spans="1:11">
      <c r="A429" s="77"/>
      <c r="B429" s="104"/>
      <c r="C429" s="78"/>
      <c r="D429" s="78"/>
      <c r="E429" s="78"/>
      <c r="F429" s="87"/>
      <c r="G429" s="78"/>
      <c r="J429" s="78"/>
      <c r="K429" s="78"/>
    </row>
    <row r="430" spans="1:11">
      <c r="A430" s="77"/>
      <c r="B430" s="104"/>
      <c r="C430" s="78"/>
      <c r="D430" s="78"/>
      <c r="E430" s="78"/>
      <c r="F430" s="87"/>
      <c r="G430" s="78"/>
      <c r="J430" s="78"/>
      <c r="K430" s="78"/>
    </row>
    <row r="431" spans="1:11">
      <c r="A431" s="77"/>
      <c r="B431" s="104"/>
      <c r="C431" s="78"/>
      <c r="D431" s="78"/>
      <c r="E431" s="78"/>
      <c r="F431" s="87"/>
      <c r="G431" s="78"/>
      <c r="J431" s="78"/>
      <c r="K431" s="78"/>
    </row>
    <row r="432" spans="1:11">
      <c r="A432" s="77"/>
      <c r="B432" s="104"/>
      <c r="C432" s="78"/>
      <c r="D432" s="78"/>
      <c r="E432" s="78"/>
      <c r="F432" s="87"/>
      <c r="G432" s="78"/>
      <c r="J432" s="78"/>
      <c r="K432" s="78"/>
    </row>
    <row r="433" spans="1:11">
      <c r="A433" s="77"/>
      <c r="B433" s="104"/>
      <c r="C433" s="78"/>
      <c r="D433" s="78"/>
      <c r="E433" s="78"/>
      <c r="F433" s="87"/>
      <c r="G433" s="78"/>
      <c r="J433" s="78"/>
      <c r="K433" s="78"/>
    </row>
    <row r="434" spans="1:11">
      <c r="A434" s="77"/>
      <c r="B434" s="104"/>
      <c r="C434" s="78"/>
      <c r="D434" s="78"/>
      <c r="E434" s="78"/>
      <c r="F434" s="87"/>
      <c r="G434" s="78"/>
      <c r="J434" s="78"/>
      <c r="K434" s="78"/>
    </row>
    <row r="435" spans="1:11">
      <c r="A435" s="77"/>
      <c r="B435" s="104"/>
      <c r="C435" s="78"/>
      <c r="D435" s="78"/>
      <c r="E435" s="78"/>
      <c r="F435" s="87"/>
      <c r="G435" s="78"/>
      <c r="J435" s="78"/>
      <c r="K435" s="78"/>
    </row>
    <row r="436" spans="1:11">
      <c r="A436" s="77"/>
      <c r="B436" s="104"/>
      <c r="C436" s="78"/>
      <c r="D436" s="78"/>
      <c r="E436" s="78"/>
      <c r="F436" s="87"/>
      <c r="G436" s="78"/>
      <c r="J436" s="78"/>
      <c r="K436" s="78"/>
    </row>
    <row r="437" spans="1:11">
      <c r="A437" s="77"/>
      <c r="B437" s="104"/>
      <c r="C437" s="78"/>
      <c r="D437" s="78"/>
      <c r="E437" s="78"/>
      <c r="F437" s="87"/>
      <c r="G437" s="78"/>
      <c r="J437" s="78"/>
      <c r="K437" s="78"/>
    </row>
    <row r="438" spans="1:11">
      <c r="A438" s="77"/>
      <c r="B438" s="104"/>
      <c r="C438" s="78"/>
      <c r="D438" s="78"/>
      <c r="E438" s="78"/>
      <c r="F438" s="87"/>
      <c r="G438" s="78"/>
      <c r="J438" s="78"/>
      <c r="K438" s="78"/>
    </row>
    <row r="439" spans="1:11">
      <c r="A439" s="77"/>
      <c r="B439" s="104"/>
      <c r="C439" s="78"/>
      <c r="D439" s="78"/>
      <c r="E439" s="78"/>
      <c r="F439" s="87"/>
      <c r="G439" s="78"/>
      <c r="J439" s="78"/>
      <c r="K439" s="78"/>
    </row>
    <row r="440" spans="1:11">
      <c r="A440" s="77"/>
      <c r="B440" s="104"/>
      <c r="C440" s="78"/>
      <c r="D440" s="78"/>
      <c r="E440" s="78"/>
      <c r="F440" s="87"/>
      <c r="G440" s="78"/>
      <c r="J440" s="78"/>
      <c r="K440" s="78"/>
    </row>
    <row r="441" spans="1:11">
      <c r="A441" s="77"/>
      <c r="B441" s="104"/>
      <c r="C441" s="78"/>
      <c r="D441" s="78"/>
      <c r="E441" s="78"/>
      <c r="F441" s="87"/>
      <c r="G441" s="78"/>
      <c r="J441" s="78"/>
      <c r="K441" s="78"/>
    </row>
    <row r="442" spans="1:11">
      <c r="A442" s="77"/>
      <c r="B442" s="104"/>
      <c r="C442" s="78"/>
      <c r="D442" s="78"/>
      <c r="E442" s="78"/>
      <c r="F442" s="87"/>
      <c r="G442" s="78"/>
      <c r="J442" s="78"/>
      <c r="K442" s="78"/>
    </row>
    <row r="443" spans="1:11">
      <c r="A443" s="77"/>
      <c r="B443" s="104"/>
      <c r="C443" s="78"/>
      <c r="D443" s="78"/>
      <c r="E443" s="78"/>
      <c r="F443" s="87"/>
      <c r="G443" s="78"/>
      <c r="J443" s="78"/>
      <c r="K443" s="78"/>
    </row>
    <row r="444" spans="1:11">
      <c r="A444" s="77"/>
      <c r="B444" s="104"/>
      <c r="C444" s="78"/>
      <c r="D444" s="78"/>
      <c r="E444" s="78"/>
      <c r="F444" s="87"/>
      <c r="G444" s="78"/>
      <c r="J444" s="78"/>
      <c r="K444" s="78"/>
    </row>
    <row r="445" spans="1:11">
      <c r="A445" s="77"/>
      <c r="B445" s="104"/>
      <c r="C445" s="78"/>
      <c r="D445" s="78"/>
      <c r="E445" s="78"/>
      <c r="F445" s="87"/>
      <c r="G445" s="78"/>
      <c r="J445" s="78"/>
      <c r="K445" s="78"/>
    </row>
    <row r="446" spans="1:11">
      <c r="A446" s="77"/>
      <c r="B446" s="104"/>
      <c r="C446" s="78"/>
      <c r="D446" s="78"/>
      <c r="E446" s="78"/>
      <c r="F446" s="87"/>
      <c r="G446" s="78"/>
      <c r="J446" s="78"/>
      <c r="K446" s="78"/>
    </row>
    <row r="447" spans="1:11">
      <c r="A447" s="77"/>
      <c r="B447" s="104"/>
      <c r="C447" s="78"/>
      <c r="D447" s="78"/>
      <c r="E447" s="78"/>
      <c r="F447" s="87"/>
      <c r="G447" s="78"/>
      <c r="J447" s="78"/>
      <c r="K447" s="78"/>
    </row>
    <row r="448" spans="1:11">
      <c r="A448" s="77"/>
      <c r="B448" s="104"/>
      <c r="C448" s="78"/>
      <c r="D448" s="78"/>
      <c r="E448" s="78"/>
      <c r="F448" s="87"/>
      <c r="G448" s="78"/>
      <c r="J448" s="78"/>
      <c r="K448" s="78"/>
    </row>
    <row r="449" spans="1:11">
      <c r="A449" s="77"/>
      <c r="B449" s="104"/>
      <c r="C449" s="78"/>
      <c r="D449" s="78"/>
      <c r="E449" s="78"/>
      <c r="F449" s="87"/>
      <c r="G449" s="78"/>
      <c r="J449" s="78"/>
      <c r="K449" s="78"/>
    </row>
    <row r="450" spans="1:11">
      <c r="A450" s="77"/>
      <c r="B450" s="104"/>
      <c r="C450" s="78"/>
      <c r="D450" s="78"/>
      <c r="E450" s="78"/>
      <c r="F450" s="87"/>
      <c r="G450" s="78"/>
      <c r="J450" s="78"/>
      <c r="K450" s="78"/>
    </row>
    <row r="451" spans="1:11">
      <c r="A451" s="77"/>
      <c r="B451" s="104"/>
      <c r="C451" s="78"/>
      <c r="D451" s="78"/>
      <c r="E451" s="78"/>
      <c r="F451" s="87"/>
      <c r="G451" s="78"/>
      <c r="J451" s="78"/>
      <c r="K451" s="78"/>
    </row>
    <row r="452" spans="1:11">
      <c r="A452" s="77"/>
      <c r="B452" s="104"/>
      <c r="C452" s="78"/>
      <c r="D452" s="78"/>
      <c r="E452" s="78"/>
      <c r="F452" s="87"/>
      <c r="G452" s="78"/>
      <c r="J452" s="78"/>
      <c r="K452" s="78"/>
    </row>
    <row r="453" spans="1:11">
      <c r="A453" s="77"/>
      <c r="B453" s="104"/>
      <c r="C453" s="78"/>
      <c r="D453" s="78"/>
      <c r="E453" s="78"/>
      <c r="F453" s="87"/>
      <c r="G453" s="78"/>
      <c r="J453" s="78"/>
      <c r="K453" s="78"/>
    </row>
    <row r="454" spans="1:11">
      <c r="A454" s="77"/>
      <c r="B454" s="104"/>
      <c r="C454" s="78"/>
      <c r="D454" s="78"/>
      <c r="E454" s="78"/>
      <c r="F454" s="87"/>
      <c r="G454" s="78"/>
      <c r="J454" s="78"/>
      <c r="K454" s="78"/>
    </row>
    <row r="455" spans="1:11">
      <c r="A455" s="77"/>
      <c r="B455" s="104"/>
      <c r="C455" s="78"/>
      <c r="D455" s="78"/>
      <c r="E455" s="78"/>
      <c r="F455" s="87"/>
      <c r="G455" s="78"/>
      <c r="J455" s="78"/>
      <c r="K455" s="78"/>
    </row>
    <row r="456" spans="1:11">
      <c r="A456" s="77"/>
      <c r="B456" s="104"/>
      <c r="C456" s="78"/>
      <c r="D456" s="78"/>
      <c r="E456" s="78"/>
      <c r="F456" s="87"/>
      <c r="G456" s="78"/>
      <c r="J456" s="78"/>
      <c r="K456" s="78"/>
    </row>
    <row r="457" spans="1:11">
      <c r="A457" s="77"/>
      <c r="B457" s="104"/>
      <c r="C457" s="78"/>
      <c r="D457" s="78"/>
      <c r="E457" s="78"/>
      <c r="F457" s="87"/>
      <c r="G457" s="78"/>
      <c r="J457" s="78"/>
      <c r="K457" s="78"/>
    </row>
    <row r="458" spans="1:11">
      <c r="A458" s="77"/>
      <c r="B458" s="104"/>
      <c r="C458" s="78"/>
      <c r="D458" s="78"/>
      <c r="E458" s="78"/>
      <c r="F458" s="87"/>
      <c r="G458" s="78"/>
      <c r="J458" s="78"/>
      <c r="K458" s="78"/>
    </row>
    <row r="459" spans="1:11">
      <c r="A459" s="77"/>
      <c r="B459" s="104"/>
      <c r="C459" s="78"/>
      <c r="D459" s="78"/>
      <c r="E459" s="78"/>
      <c r="F459" s="87"/>
      <c r="G459" s="78"/>
      <c r="J459" s="78"/>
      <c r="K459" s="78"/>
    </row>
    <row r="460" spans="1:11">
      <c r="A460" s="77"/>
      <c r="B460" s="104"/>
      <c r="C460" s="78"/>
      <c r="D460" s="78"/>
      <c r="E460" s="78"/>
      <c r="F460" s="87"/>
      <c r="G460" s="78"/>
      <c r="J460" s="78"/>
      <c r="K460" s="78"/>
    </row>
    <row r="461" spans="1:11">
      <c r="A461" s="77"/>
      <c r="B461" s="104"/>
      <c r="C461" s="78"/>
      <c r="D461" s="78"/>
      <c r="E461" s="78"/>
      <c r="F461" s="87"/>
      <c r="G461" s="78"/>
      <c r="J461" s="78"/>
      <c r="K461" s="78"/>
    </row>
    <row r="462" spans="1:11">
      <c r="A462" s="77"/>
      <c r="B462" s="104"/>
      <c r="C462" s="78"/>
      <c r="D462" s="78"/>
      <c r="E462" s="78"/>
      <c r="F462" s="87"/>
      <c r="G462" s="78"/>
      <c r="J462" s="78"/>
      <c r="K462" s="78"/>
    </row>
    <row r="463" spans="1:11">
      <c r="A463" s="77"/>
      <c r="B463" s="104"/>
      <c r="C463" s="78"/>
      <c r="D463" s="78"/>
      <c r="E463" s="78"/>
      <c r="F463" s="87"/>
      <c r="G463" s="78"/>
      <c r="J463" s="78"/>
      <c r="K463" s="78"/>
    </row>
    <row r="464" spans="1:11">
      <c r="A464" s="77"/>
      <c r="B464" s="104"/>
      <c r="C464" s="78"/>
      <c r="D464" s="78"/>
      <c r="E464" s="78"/>
      <c r="F464" s="87"/>
      <c r="G464" s="78"/>
      <c r="J464" s="78"/>
      <c r="K464" s="78"/>
    </row>
    <row r="465" spans="1:11">
      <c r="A465" s="77"/>
      <c r="B465" s="104"/>
      <c r="C465" s="78"/>
      <c r="D465" s="78"/>
      <c r="E465" s="78"/>
      <c r="F465" s="87"/>
      <c r="G465" s="78"/>
      <c r="J465" s="78"/>
      <c r="K465" s="78"/>
    </row>
    <row r="466" spans="1:11">
      <c r="A466" s="77"/>
      <c r="B466" s="104"/>
      <c r="C466" s="78"/>
      <c r="D466" s="78"/>
      <c r="E466" s="78"/>
      <c r="F466" s="87"/>
      <c r="G466" s="78"/>
      <c r="J466" s="78"/>
      <c r="K466" s="78"/>
    </row>
    <row r="467" spans="1:11">
      <c r="A467" s="77"/>
      <c r="B467" s="104"/>
      <c r="C467" s="78"/>
      <c r="D467" s="78"/>
      <c r="E467" s="78"/>
      <c r="F467" s="87"/>
      <c r="G467" s="78"/>
      <c r="J467" s="78"/>
      <c r="K467" s="78"/>
    </row>
    <row r="468" spans="1:11">
      <c r="A468" s="77"/>
      <c r="B468" s="104"/>
      <c r="C468" s="78"/>
      <c r="D468" s="78"/>
      <c r="E468" s="78"/>
      <c r="F468" s="87"/>
      <c r="G468" s="78"/>
      <c r="J468" s="78"/>
      <c r="K468" s="78"/>
    </row>
    <row r="469" spans="1:11">
      <c r="A469" s="77"/>
      <c r="B469" s="104"/>
      <c r="C469" s="78"/>
      <c r="D469" s="78"/>
      <c r="E469" s="78"/>
      <c r="F469" s="87"/>
      <c r="G469" s="78"/>
      <c r="J469" s="78"/>
      <c r="K469" s="78"/>
    </row>
    <row r="470" spans="1:11">
      <c r="A470" s="77"/>
      <c r="B470" s="104"/>
      <c r="C470" s="78"/>
      <c r="D470" s="78"/>
      <c r="E470" s="78"/>
      <c r="F470" s="87"/>
      <c r="G470" s="78"/>
      <c r="J470" s="78"/>
      <c r="K470" s="78"/>
    </row>
    <row r="471" spans="1:11">
      <c r="A471" s="77"/>
      <c r="B471" s="104"/>
      <c r="C471" s="78"/>
      <c r="D471" s="78"/>
      <c r="E471" s="78"/>
      <c r="F471" s="87"/>
      <c r="G471" s="78"/>
      <c r="J471" s="78"/>
      <c r="K471" s="78"/>
    </row>
    <row r="472" spans="1:11">
      <c r="A472" s="77"/>
      <c r="B472" s="104"/>
      <c r="C472" s="78"/>
      <c r="D472" s="78"/>
      <c r="E472" s="78"/>
      <c r="F472" s="87"/>
      <c r="G472" s="78"/>
      <c r="J472" s="78"/>
      <c r="K472" s="78"/>
    </row>
    <row r="473" spans="1:11">
      <c r="A473" s="77"/>
      <c r="B473" s="104"/>
      <c r="C473" s="78"/>
      <c r="D473" s="78"/>
      <c r="E473" s="78"/>
      <c r="F473" s="87"/>
      <c r="G473" s="78"/>
      <c r="J473" s="78"/>
      <c r="K473" s="78"/>
    </row>
    <row r="474" spans="1:11">
      <c r="A474" s="77"/>
      <c r="B474" s="104"/>
      <c r="C474" s="78"/>
      <c r="D474" s="78"/>
      <c r="E474" s="78"/>
      <c r="F474" s="87"/>
      <c r="G474" s="78"/>
      <c r="J474" s="78"/>
      <c r="K474" s="78"/>
    </row>
    <row r="475" spans="1:11">
      <c r="A475" s="77"/>
      <c r="B475" s="104"/>
      <c r="C475" s="78"/>
      <c r="D475" s="78"/>
      <c r="E475" s="78"/>
      <c r="F475" s="87"/>
      <c r="G475" s="78"/>
      <c r="J475" s="78"/>
      <c r="K475" s="78"/>
    </row>
    <row r="476" spans="1:11">
      <c r="A476" s="77"/>
      <c r="B476" s="104"/>
      <c r="C476" s="78"/>
      <c r="D476" s="78"/>
      <c r="E476" s="78"/>
      <c r="F476" s="87"/>
      <c r="G476" s="78"/>
      <c r="J476" s="78"/>
      <c r="K476" s="78"/>
    </row>
    <row r="477" spans="1:11">
      <c r="A477" s="77"/>
      <c r="B477" s="104"/>
      <c r="C477" s="78"/>
      <c r="D477" s="78"/>
      <c r="E477" s="78"/>
      <c r="F477" s="87"/>
      <c r="G477" s="78"/>
      <c r="J477" s="78"/>
      <c r="K477" s="78"/>
    </row>
    <row r="478" spans="1:11">
      <c r="A478" s="77"/>
      <c r="B478" s="104"/>
      <c r="C478" s="78"/>
      <c r="D478" s="78"/>
      <c r="E478" s="78"/>
      <c r="F478" s="87"/>
      <c r="G478" s="78"/>
      <c r="J478" s="78"/>
      <c r="K478" s="78"/>
    </row>
    <row r="479" spans="1:11">
      <c r="A479" s="77"/>
      <c r="B479" s="104"/>
      <c r="C479" s="78"/>
      <c r="D479" s="78"/>
      <c r="E479" s="78"/>
      <c r="F479" s="87"/>
      <c r="G479" s="78"/>
      <c r="J479" s="78"/>
      <c r="K479" s="78"/>
    </row>
    <row r="480" spans="1:11">
      <c r="A480" s="77"/>
      <c r="B480" s="104"/>
      <c r="C480" s="78"/>
      <c r="D480" s="78"/>
      <c r="E480" s="78"/>
      <c r="F480" s="87"/>
      <c r="G480" s="78"/>
      <c r="J480" s="78"/>
      <c r="K480" s="78"/>
    </row>
    <row r="481" spans="1:11">
      <c r="A481" s="77"/>
      <c r="B481" s="104"/>
      <c r="C481" s="78"/>
      <c r="D481" s="78"/>
      <c r="E481" s="78"/>
      <c r="F481" s="87"/>
      <c r="G481" s="78"/>
      <c r="J481" s="78"/>
      <c r="K481" s="78"/>
    </row>
    <row r="482" spans="1:11">
      <c r="A482" s="77"/>
      <c r="B482" s="104"/>
      <c r="C482" s="78"/>
      <c r="D482" s="78"/>
      <c r="E482" s="78"/>
      <c r="F482" s="87"/>
      <c r="G482" s="78"/>
      <c r="J482" s="78"/>
      <c r="K482" s="78"/>
    </row>
    <row r="483" spans="1:11">
      <c r="A483" s="77"/>
      <c r="B483" s="104"/>
      <c r="C483" s="78"/>
      <c r="D483" s="78"/>
      <c r="E483" s="78"/>
      <c r="F483" s="87"/>
      <c r="G483" s="78"/>
      <c r="J483" s="78"/>
      <c r="K483" s="78"/>
    </row>
    <row r="484" spans="1:11">
      <c r="A484" s="77"/>
      <c r="B484" s="104"/>
      <c r="C484" s="78"/>
      <c r="D484" s="78"/>
      <c r="E484" s="78"/>
      <c r="F484" s="87"/>
      <c r="G484" s="78"/>
      <c r="J484" s="78"/>
      <c r="K484" s="78"/>
    </row>
    <row r="485" spans="1:11">
      <c r="A485" s="77"/>
      <c r="B485" s="104"/>
      <c r="C485" s="78"/>
      <c r="D485" s="78"/>
      <c r="E485" s="78"/>
      <c r="F485" s="87"/>
      <c r="G485" s="78"/>
      <c r="J485" s="78"/>
      <c r="K485" s="78"/>
    </row>
    <row r="486" spans="1:11">
      <c r="A486" s="77"/>
      <c r="B486" s="104"/>
      <c r="C486" s="78"/>
      <c r="D486" s="78"/>
      <c r="E486" s="78"/>
      <c r="F486" s="87"/>
      <c r="G486" s="78"/>
      <c r="J486" s="78"/>
      <c r="K486" s="78"/>
    </row>
    <row r="487" spans="1:11">
      <c r="A487" s="77"/>
      <c r="B487" s="104"/>
      <c r="C487" s="78"/>
      <c r="D487" s="78"/>
      <c r="E487" s="78"/>
      <c r="F487" s="87"/>
      <c r="G487" s="78"/>
      <c r="J487" s="78"/>
      <c r="K487" s="78"/>
    </row>
    <row r="488" spans="1:11">
      <c r="A488" s="77"/>
      <c r="B488" s="104"/>
      <c r="C488" s="78"/>
      <c r="D488" s="78"/>
      <c r="E488" s="78"/>
      <c r="F488" s="87"/>
      <c r="G488" s="78"/>
      <c r="J488" s="78"/>
      <c r="K488" s="78"/>
    </row>
    <row r="489" spans="1:11">
      <c r="A489" s="77"/>
      <c r="B489" s="104"/>
      <c r="C489" s="78"/>
      <c r="D489" s="78"/>
      <c r="E489" s="78"/>
      <c r="F489" s="87"/>
      <c r="G489" s="78"/>
      <c r="J489" s="78"/>
      <c r="K489" s="78"/>
    </row>
    <row r="490" spans="1:11">
      <c r="A490" s="77"/>
      <c r="B490" s="104"/>
      <c r="C490" s="78"/>
      <c r="D490" s="78"/>
      <c r="E490" s="78"/>
      <c r="F490" s="87"/>
      <c r="G490" s="78"/>
      <c r="J490" s="78"/>
      <c r="K490" s="78"/>
    </row>
    <row r="491" spans="1:11">
      <c r="A491" s="77"/>
      <c r="B491" s="104"/>
      <c r="C491" s="78"/>
      <c r="D491" s="78"/>
      <c r="E491" s="78"/>
      <c r="F491" s="87"/>
      <c r="G491" s="78"/>
      <c r="J491" s="78"/>
      <c r="K491" s="78"/>
    </row>
    <row r="492" spans="1:11">
      <c r="A492" s="77"/>
      <c r="B492" s="104"/>
      <c r="C492" s="78"/>
      <c r="D492" s="78"/>
      <c r="E492" s="78"/>
      <c r="F492" s="87"/>
      <c r="G492" s="78"/>
      <c r="J492" s="78"/>
      <c r="K492" s="78"/>
    </row>
    <row r="493" spans="1:11">
      <c r="A493" s="77"/>
      <c r="B493" s="104"/>
      <c r="C493" s="78"/>
      <c r="D493" s="78"/>
      <c r="E493" s="78"/>
      <c r="F493" s="87"/>
      <c r="G493" s="78"/>
      <c r="J493" s="78"/>
      <c r="K493" s="78"/>
    </row>
    <row r="494" spans="1:11">
      <c r="A494" s="77"/>
      <c r="B494" s="104"/>
      <c r="C494" s="78"/>
      <c r="D494" s="78"/>
      <c r="E494" s="78"/>
      <c r="F494" s="87"/>
      <c r="G494" s="78"/>
      <c r="J494" s="78"/>
      <c r="K494" s="78"/>
    </row>
    <row r="495" spans="1:11">
      <c r="A495" s="77"/>
      <c r="B495" s="104"/>
      <c r="C495" s="78"/>
      <c r="D495" s="78"/>
      <c r="E495" s="78"/>
      <c r="F495" s="87"/>
      <c r="G495" s="78"/>
      <c r="J495" s="78"/>
      <c r="K495" s="78"/>
    </row>
    <row r="496" spans="1:11">
      <c r="A496" s="77"/>
      <c r="B496" s="104"/>
      <c r="C496" s="78"/>
      <c r="D496" s="78"/>
      <c r="E496" s="78"/>
      <c r="F496" s="87"/>
      <c r="G496" s="78"/>
      <c r="J496" s="78"/>
      <c r="K496" s="78"/>
    </row>
    <row r="497" spans="1:11">
      <c r="A497" s="77"/>
      <c r="B497" s="104"/>
      <c r="C497" s="78"/>
      <c r="D497" s="78"/>
      <c r="E497" s="78"/>
      <c r="F497" s="87"/>
      <c r="G497" s="78"/>
      <c r="J497" s="78"/>
      <c r="K497" s="78"/>
    </row>
    <row r="498" spans="1:11">
      <c r="A498" s="77"/>
      <c r="B498" s="104"/>
      <c r="C498" s="78"/>
      <c r="D498" s="78"/>
      <c r="E498" s="78"/>
      <c r="F498" s="87"/>
      <c r="G498" s="78"/>
      <c r="J498" s="78"/>
      <c r="K498" s="78"/>
    </row>
    <row r="499" spans="1:11">
      <c r="A499" s="77"/>
      <c r="B499" s="104"/>
      <c r="C499" s="78"/>
      <c r="D499" s="78"/>
      <c r="E499" s="78"/>
      <c r="F499" s="87"/>
      <c r="G499" s="78"/>
      <c r="J499" s="78"/>
      <c r="K499" s="78"/>
    </row>
    <row r="500" spans="1:11">
      <c r="A500" s="77"/>
      <c r="B500" s="104"/>
      <c r="C500" s="78"/>
      <c r="D500" s="78"/>
      <c r="E500" s="78"/>
      <c r="F500" s="87"/>
      <c r="G500" s="78"/>
      <c r="J500" s="78"/>
      <c r="K500" s="78"/>
    </row>
    <row r="501" spans="1:11">
      <c r="A501" s="77"/>
      <c r="B501" s="104"/>
      <c r="C501" s="78"/>
      <c r="D501" s="78"/>
      <c r="E501" s="78"/>
      <c r="F501" s="87"/>
      <c r="G501" s="78"/>
      <c r="J501" s="78"/>
      <c r="K501" s="78"/>
    </row>
    <row r="502" spans="1:11">
      <c r="A502" s="77"/>
      <c r="B502" s="104"/>
      <c r="C502" s="78"/>
      <c r="D502" s="78"/>
      <c r="E502" s="78"/>
      <c r="F502" s="87"/>
      <c r="G502" s="78"/>
      <c r="J502" s="78"/>
      <c r="K502" s="78"/>
    </row>
    <row r="503" spans="1:11">
      <c r="A503" s="77"/>
      <c r="B503" s="104"/>
      <c r="C503" s="78"/>
      <c r="D503" s="78"/>
      <c r="E503" s="78"/>
      <c r="F503" s="87"/>
      <c r="G503" s="78"/>
      <c r="J503" s="78"/>
      <c r="K503" s="78"/>
    </row>
    <row r="504" spans="1:11">
      <c r="A504" s="77"/>
      <c r="B504" s="104"/>
      <c r="C504" s="78"/>
      <c r="D504" s="78"/>
      <c r="E504" s="78"/>
      <c r="F504" s="87"/>
      <c r="G504" s="78"/>
      <c r="J504" s="78"/>
      <c r="K504" s="78"/>
    </row>
    <row r="505" spans="1:11">
      <c r="A505" s="77"/>
      <c r="B505" s="104"/>
      <c r="C505" s="78"/>
      <c r="D505" s="78"/>
      <c r="E505" s="78"/>
      <c r="F505" s="87"/>
      <c r="G505" s="78"/>
      <c r="J505" s="78"/>
      <c r="K505" s="78"/>
    </row>
    <row r="506" spans="1:11">
      <c r="A506" s="77"/>
      <c r="B506" s="104"/>
      <c r="C506" s="78"/>
      <c r="D506" s="78"/>
      <c r="E506" s="78"/>
      <c r="F506" s="87"/>
      <c r="G506" s="78"/>
      <c r="J506" s="78"/>
      <c r="K506" s="78"/>
    </row>
    <row r="507" spans="1:11">
      <c r="A507" s="77"/>
      <c r="B507" s="104"/>
      <c r="C507" s="78"/>
      <c r="D507" s="78"/>
      <c r="E507" s="78"/>
      <c r="F507" s="87"/>
      <c r="G507" s="78"/>
      <c r="J507" s="78"/>
      <c r="K507" s="78"/>
    </row>
    <row r="508" spans="1:11">
      <c r="A508" s="77"/>
      <c r="B508" s="104"/>
      <c r="C508" s="78"/>
      <c r="D508" s="78"/>
      <c r="E508" s="78"/>
      <c r="F508" s="87"/>
      <c r="G508" s="78"/>
      <c r="J508" s="78"/>
      <c r="K508" s="78"/>
    </row>
    <row r="509" spans="1:11">
      <c r="A509" s="77"/>
      <c r="B509" s="104"/>
      <c r="C509" s="78"/>
      <c r="D509" s="78"/>
      <c r="E509" s="78"/>
      <c r="F509" s="87"/>
      <c r="G509" s="78"/>
      <c r="J509" s="78"/>
      <c r="K509" s="78"/>
    </row>
    <row r="510" spans="1:11">
      <c r="A510" s="77"/>
      <c r="B510" s="104"/>
      <c r="C510" s="78"/>
      <c r="D510" s="78"/>
      <c r="E510" s="78"/>
      <c r="F510" s="87"/>
      <c r="G510" s="78"/>
      <c r="J510" s="78"/>
      <c r="K510" s="78"/>
    </row>
    <row r="511" spans="1:11">
      <c r="A511" s="77"/>
      <c r="B511" s="104"/>
      <c r="C511" s="78"/>
      <c r="D511" s="78"/>
      <c r="E511" s="78"/>
      <c r="F511" s="87"/>
      <c r="G511" s="78"/>
      <c r="J511" s="78"/>
      <c r="K511" s="78"/>
    </row>
    <row r="512" spans="1:11">
      <c r="A512" s="77"/>
      <c r="B512" s="104"/>
      <c r="C512" s="78"/>
      <c r="D512" s="78"/>
      <c r="E512" s="78"/>
      <c r="F512" s="87"/>
      <c r="G512" s="78"/>
      <c r="J512" s="78"/>
      <c r="K512" s="78"/>
    </row>
    <row r="513" spans="1:11">
      <c r="A513" s="77"/>
      <c r="B513" s="104"/>
      <c r="C513" s="78"/>
      <c r="D513" s="78"/>
      <c r="E513" s="78"/>
      <c r="F513" s="87"/>
      <c r="G513" s="78"/>
      <c r="J513" s="78"/>
      <c r="K513" s="78"/>
    </row>
    <row r="514" spans="1:11">
      <c r="A514" s="77"/>
      <c r="B514" s="104"/>
      <c r="C514" s="78"/>
      <c r="D514" s="78"/>
      <c r="E514" s="78"/>
      <c r="F514" s="87"/>
      <c r="G514" s="78"/>
      <c r="J514" s="78"/>
      <c r="K514" s="78"/>
    </row>
    <row r="515" spans="1:11">
      <c r="A515" s="77"/>
      <c r="B515" s="104"/>
      <c r="C515" s="78"/>
      <c r="D515" s="78"/>
      <c r="E515" s="78"/>
      <c r="F515" s="87"/>
      <c r="G515" s="78"/>
      <c r="J515" s="78"/>
      <c r="K515" s="78"/>
    </row>
    <row r="516" spans="1:11">
      <c r="A516" s="77"/>
      <c r="B516" s="104"/>
      <c r="C516" s="78"/>
      <c r="D516" s="78"/>
      <c r="E516" s="78"/>
      <c r="F516" s="87"/>
      <c r="G516" s="78"/>
      <c r="J516" s="78"/>
      <c r="K516" s="78"/>
    </row>
    <row r="517" spans="1:11">
      <c r="A517" s="77"/>
      <c r="B517" s="104"/>
      <c r="C517" s="78"/>
      <c r="D517" s="78"/>
      <c r="E517" s="78"/>
      <c r="F517" s="87"/>
      <c r="G517" s="78"/>
      <c r="J517" s="78"/>
      <c r="K517" s="78"/>
    </row>
    <row r="518" spans="1:11">
      <c r="A518" s="77"/>
      <c r="B518" s="104"/>
      <c r="C518" s="78"/>
      <c r="D518" s="78"/>
      <c r="E518" s="78"/>
      <c r="F518" s="87"/>
      <c r="G518" s="78"/>
      <c r="J518" s="78"/>
      <c r="K518" s="78"/>
    </row>
    <row r="519" spans="1:11">
      <c r="A519" s="77"/>
      <c r="B519" s="104"/>
      <c r="C519" s="78"/>
      <c r="D519" s="78"/>
      <c r="E519" s="78"/>
      <c r="F519" s="87"/>
      <c r="G519" s="78"/>
      <c r="J519" s="78"/>
      <c r="K519" s="78"/>
    </row>
    <row r="520" spans="1:11">
      <c r="A520" s="77"/>
      <c r="B520" s="104"/>
      <c r="C520" s="78"/>
      <c r="D520" s="78"/>
      <c r="E520" s="78"/>
      <c r="F520" s="87"/>
      <c r="G520" s="78"/>
      <c r="J520" s="78"/>
      <c r="K520" s="78"/>
    </row>
    <row r="521" spans="1:11">
      <c r="A521" s="77"/>
      <c r="B521" s="104"/>
      <c r="C521" s="78"/>
      <c r="D521" s="78"/>
      <c r="E521" s="78"/>
      <c r="F521" s="87"/>
      <c r="G521" s="78"/>
      <c r="J521" s="78"/>
      <c r="K521" s="78"/>
    </row>
    <row r="522" spans="1:11">
      <c r="A522" s="77"/>
      <c r="B522" s="104"/>
      <c r="C522" s="78"/>
      <c r="D522" s="78"/>
      <c r="E522" s="78"/>
      <c r="F522" s="87"/>
      <c r="G522" s="78"/>
      <c r="J522" s="78"/>
      <c r="K522" s="78"/>
    </row>
    <row r="523" spans="1:11">
      <c r="A523" s="77"/>
      <c r="B523" s="104"/>
      <c r="C523" s="78"/>
      <c r="D523" s="78"/>
      <c r="E523" s="78"/>
      <c r="F523" s="87"/>
      <c r="G523" s="78"/>
      <c r="J523" s="78"/>
      <c r="K523" s="78"/>
    </row>
    <row r="524" spans="1:11">
      <c r="A524" s="77"/>
      <c r="B524" s="104"/>
      <c r="C524" s="78"/>
      <c r="D524" s="78"/>
      <c r="E524" s="78"/>
      <c r="F524" s="87"/>
      <c r="G524" s="78"/>
      <c r="J524" s="78"/>
      <c r="K524" s="78"/>
    </row>
    <row r="525" spans="1:11">
      <c r="A525" s="77"/>
      <c r="B525" s="104"/>
      <c r="C525" s="78"/>
      <c r="D525" s="78"/>
      <c r="E525" s="78"/>
      <c r="F525" s="87"/>
      <c r="G525" s="78"/>
      <c r="J525" s="78"/>
      <c r="K525" s="78"/>
    </row>
    <row r="526" spans="1:11">
      <c r="A526" s="77"/>
      <c r="B526" s="104"/>
      <c r="C526" s="78"/>
      <c r="D526" s="78"/>
      <c r="E526" s="78"/>
      <c r="F526" s="87"/>
      <c r="G526" s="78"/>
      <c r="J526" s="78"/>
      <c r="K526" s="78"/>
    </row>
    <row r="527" spans="1:11">
      <c r="A527" s="77"/>
      <c r="B527" s="104"/>
      <c r="C527" s="78"/>
      <c r="D527" s="78"/>
      <c r="E527" s="78"/>
      <c r="F527" s="87"/>
      <c r="G527" s="78"/>
      <c r="J527" s="78"/>
      <c r="K527" s="78"/>
    </row>
    <row r="528" spans="1:11">
      <c r="A528" s="77"/>
      <c r="B528" s="104"/>
      <c r="C528" s="78"/>
      <c r="D528" s="78"/>
      <c r="E528" s="78"/>
      <c r="F528" s="87"/>
      <c r="G528" s="78"/>
      <c r="J528" s="78"/>
      <c r="K528" s="78"/>
    </row>
    <row r="529" spans="1:11">
      <c r="A529" s="77"/>
      <c r="B529" s="104"/>
      <c r="C529" s="78"/>
      <c r="D529" s="78"/>
      <c r="E529" s="78"/>
      <c r="F529" s="87"/>
      <c r="G529" s="78"/>
      <c r="J529" s="78"/>
      <c r="K529" s="78"/>
    </row>
    <row r="530" spans="1:11">
      <c r="A530" s="77"/>
      <c r="B530" s="104"/>
      <c r="C530" s="78"/>
      <c r="D530" s="78"/>
      <c r="E530" s="78"/>
      <c r="F530" s="87"/>
      <c r="G530" s="78"/>
      <c r="J530" s="78"/>
      <c r="K530" s="78"/>
    </row>
    <row r="531" spans="1:11">
      <c r="A531" s="77"/>
      <c r="B531" s="104"/>
      <c r="C531" s="78"/>
      <c r="D531" s="78"/>
      <c r="E531" s="78"/>
      <c r="F531" s="87"/>
      <c r="G531" s="78"/>
      <c r="J531" s="78"/>
      <c r="K531" s="78"/>
    </row>
    <row r="532" spans="1:11">
      <c r="A532" s="77"/>
      <c r="B532" s="104"/>
      <c r="C532" s="78"/>
      <c r="D532" s="78"/>
      <c r="E532" s="78"/>
      <c r="F532" s="87"/>
      <c r="G532" s="78"/>
      <c r="J532" s="78"/>
      <c r="K532" s="78"/>
    </row>
    <row r="533" spans="1:11">
      <c r="A533" s="77"/>
      <c r="B533" s="104"/>
      <c r="C533" s="78"/>
      <c r="D533" s="78"/>
      <c r="E533" s="78"/>
      <c r="F533" s="87"/>
      <c r="G533" s="78"/>
      <c r="J533" s="78"/>
      <c r="K533" s="78"/>
    </row>
    <row r="534" spans="1:11">
      <c r="A534" s="77"/>
      <c r="B534" s="104"/>
      <c r="C534" s="78"/>
      <c r="D534" s="78"/>
      <c r="E534" s="78"/>
      <c r="F534" s="87"/>
      <c r="G534" s="78"/>
      <c r="J534" s="78"/>
      <c r="K534" s="78"/>
    </row>
    <row r="535" spans="1:11">
      <c r="A535" s="77"/>
      <c r="B535" s="104"/>
      <c r="C535" s="78"/>
      <c r="D535" s="78"/>
      <c r="E535" s="78"/>
      <c r="F535" s="87"/>
      <c r="G535" s="78"/>
      <c r="J535" s="78"/>
      <c r="K535" s="78"/>
    </row>
    <row r="536" spans="1:11">
      <c r="A536" s="77"/>
      <c r="B536" s="104"/>
      <c r="C536" s="78"/>
      <c r="D536" s="78"/>
      <c r="E536" s="78"/>
      <c r="F536" s="87"/>
      <c r="G536" s="78"/>
      <c r="J536" s="78"/>
      <c r="K536" s="78"/>
    </row>
    <row r="537" spans="1:11">
      <c r="A537" s="77"/>
      <c r="B537" s="104"/>
      <c r="C537" s="78"/>
      <c r="D537" s="78"/>
      <c r="E537" s="78"/>
      <c r="F537" s="87"/>
      <c r="G537" s="78"/>
      <c r="J537" s="78"/>
      <c r="K537" s="78"/>
    </row>
    <row r="538" spans="1:11">
      <c r="A538" s="77"/>
      <c r="B538" s="104"/>
      <c r="C538" s="78"/>
      <c r="D538" s="78"/>
      <c r="E538" s="78"/>
      <c r="F538" s="87"/>
      <c r="G538" s="78"/>
      <c r="J538" s="78"/>
      <c r="K538" s="78"/>
    </row>
    <row r="539" spans="1:11">
      <c r="A539" s="77"/>
      <c r="B539" s="104"/>
      <c r="C539" s="78"/>
      <c r="D539" s="78"/>
      <c r="E539" s="78"/>
      <c r="F539" s="87"/>
      <c r="G539" s="78"/>
      <c r="J539" s="78"/>
      <c r="K539" s="78"/>
    </row>
    <row r="540" spans="1:11">
      <c r="A540" s="77"/>
      <c r="B540" s="104"/>
      <c r="C540" s="78"/>
      <c r="D540" s="78"/>
      <c r="E540" s="78"/>
      <c r="F540" s="87"/>
      <c r="G540" s="78"/>
      <c r="J540" s="78"/>
      <c r="K540" s="78"/>
    </row>
    <row r="541" spans="1:11">
      <c r="A541" s="77"/>
      <c r="B541" s="104"/>
      <c r="C541" s="78"/>
      <c r="D541" s="78"/>
      <c r="E541" s="78"/>
      <c r="F541" s="87"/>
      <c r="G541" s="78"/>
      <c r="J541" s="78"/>
      <c r="K541" s="78"/>
    </row>
    <row r="542" spans="1:11">
      <c r="A542" s="77"/>
      <c r="B542" s="104"/>
      <c r="C542" s="78"/>
      <c r="D542" s="78"/>
      <c r="E542" s="78"/>
      <c r="F542" s="87"/>
      <c r="G542" s="78"/>
      <c r="J542" s="78"/>
      <c r="K542" s="78"/>
    </row>
    <row r="543" spans="1:11">
      <c r="A543" s="77"/>
      <c r="B543" s="104"/>
      <c r="C543" s="78"/>
      <c r="D543" s="78"/>
      <c r="E543" s="78"/>
      <c r="F543" s="87"/>
      <c r="G543" s="78"/>
      <c r="J543" s="78"/>
      <c r="K543" s="78"/>
    </row>
    <row r="544" spans="1:11">
      <c r="A544" s="77"/>
      <c r="B544" s="104"/>
      <c r="C544" s="78"/>
      <c r="D544" s="78"/>
      <c r="E544" s="78"/>
      <c r="F544" s="87"/>
      <c r="G544" s="78"/>
      <c r="J544" s="78"/>
      <c r="K544" s="78"/>
    </row>
    <row r="545" spans="1:11">
      <c r="A545" s="77"/>
      <c r="B545" s="104"/>
      <c r="C545" s="78"/>
      <c r="D545" s="78"/>
      <c r="E545" s="78"/>
      <c r="F545" s="87"/>
      <c r="G545" s="78"/>
      <c r="J545" s="78"/>
      <c r="K545" s="78"/>
    </row>
    <row r="546" spans="1:11">
      <c r="A546" s="77"/>
      <c r="B546" s="104"/>
      <c r="C546" s="78"/>
      <c r="D546" s="78"/>
      <c r="E546" s="78"/>
      <c r="F546" s="87"/>
      <c r="G546" s="78"/>
      <c r="J546" s="78"/>
      <c r="K546" s="78"/>
    </row>
    <row r="547" spans="1:11">
      <c r="A547" s="77"/>
      <c r="B547" s="104"/>
      <c r="C547" s="78"/>
      <c r="D547" s="78"/>
      <c r="E547" s="78"/>
      <c r="F547" s="87"/>
      <c r="G547" s="78"/>
      <c r="J547" s="78"/>
      <c r="K547" s="78"/>
    </row>
    <row r="548" spans="1:11">
      <c r="A548" s="77"/>
      <c r="B548" s="104"/>
      <c r="C548" s="78"/>
      <c r="D548" s="78"/>
      <c r="E548" s="78"/>
      <c r="F548" s="87"/>
      <c r="G548" s="78"/>
      <c r="J548" s="78"/>
      <c r="K548" s="78"/>
    </row>
    <row r="549" spans="1:11">
      <c r="A549" s="77"/>
      <c r="B549" s="104"/>
      <c r="C549" s="78"/>
      <c r="D549" s="78"/>
      <c r="E549" s="78"/>
      <c r="F549" s="87"/>
      <c r="G549" s="78"/>
      <c r="J549" s="78"/>
      <c r="K549" s="78"/>
    </row>
    <row r="550" spans="1:11">
      <c r="A550" s="77"/>
      <c r="B550" s="104"/>
      <c r="C550" s="78"/>
      <c r="D550" s="78"/>
      <c r="E550" s="78"/>
      <c r="F550" s="87"/>
      <c r="G550" s="78"/>
      <c r="J550" s="78"/>
      <c r="K550" s="78"/>
    </row>
    <row r="551" spans="1:11">
      <c r="A551" s="77"/>
      <c r="B551" s="104"/>
      <c r="C551" s="78"/>
      <c r="D551" s="78"/>
      <c r="E551" s="78"/>
      <c r="F551" s="87"/>
      <c r="G551" s="78"/>
      <c r="J551" s="78"/>
      <c r="K551" s="78"/>
    </row>
    <row r="552" spans="1:11">
      <c r="A552" s="77"/>
      <c r="B552" s="104"/>
      <c r="C552" s="78"/>
      <c r="D552" s="78"/>
      <c r="E552" s="78"/>
      <c r="F552" s="87"/>
      <c r="G552" s="78"/>
      <c r="J552" s="78"/>
      <c r="K552" s="78"/>
    </row>
    <row r="553" spans="1:11">
      <c r="A553" s="77"/>
      <c r="B553" s="104"/>
      <c r="C553" s="78"/>
      <c r="D553" s="78"/>
      <c r="E553" s="78"/>
      <c r="F553" s="87"/>
      <c r="G553" s="78"/>
      <c r="J553" s="78"/>
      <c r="K553" s="78"/>
    </row>
    <row r="554" spans="1:11">
      <c r="A554" s="77"/>
      <c r="B554" s="104"/>
      <c r="C554" s="78"/>
      <c r="D554" s="78"/>
      <c r="E554" s="78"/>
      <c r="F554" s="87"/>
      <c r="G554" s="78"/>
      <c r="J554" s="78"/>
      <c r="K554" s="78"/>
    </row>
    <row r="555" spans="1:11">
      <c r="A555" s="77"/>
      <c r="B555" s="104"/>
      <c r="C555" s="78"/>
      <c r="D555" s="78"/>
      <c r="E555" s="78"/>
      <c r="F555" s="87"/>
      <c r="G555" s="78"/>
      <c r="J555" s="78"/>
      <c r="K555" s="78"/>
    </row>
    <row r="556" spans="1:11">
      <c r="A556" s="77"/>
      <c r="B556" s="104"/>
      <c r="C556" s="78"/>
      <c r="D556" s="78"/>
      <c r="E556" s="78"/>
      <c r="F556" s="87"/>
      <c r="G556" s="78"/>
      <c r="J556" s="78"/>
      <c r="K556" s="78"/>
    </row>
    <row r="557" spans="1:11">
      <c r="A557" s="77"/>
      <c r="B557" s="104"/>
      <c r="C557" s="78"/>
      <c r="D557" s="78"/>
      <c r="E557" s="78"/>
      <c r="F557" s="87"/>
      <c r="G557" s="78"/>
      <c r="J557" s="78"/>
      <c r="K557" s="78"/>
    </row>
    <row r="558" spans="1:11">
      <c r="A558" s="77"/>
      <c r="B558" s="104"/>
      <c r="C558" s="78"/>
      <c r="D558" s="78"/>
      <c r="E558" s="78"/>
      <c r="F558" s="87"/>
      <c r="G558" s="78"/>
      <c r="J558" s="78"/>
      <c r="K558" s="78"/>
    </row>
    <row r="559" spans="1:11">
      <c r="A559" s="77"/>
      <c r="B559" s="104"/>
      <c r="C559" s="78"/>
      <c r="D559" s="78"/>
      <c r="E559" s="78"/>
      <c r="F559" s="87"/>
      <c r="G559" s="78"/>
      <c r="J559" s="78"/>
      <c r="K559" s="78"/>
    </row>
    <row r="560" spans="1:11">
      <c r="A560" s="77"/>
      <c r="B560" s="104"/>
      <c r="C560" s="78"/>
      <c r="D560" s="78"/>
      <c r="E560" s="78"/>
      <c r="F560" s="87"/>
      <c r="G560" s="78"/>
      <c r="J560" s="78"/>
      <c r="K560" s="78"/>
    </row>
    <row r="561" spans="1:11">
      <c r="A561" s="77"/>
      <c r="B561" s="104"/>
      <c r="C561" s="78"/>
      <c r="D561" s="78"/>
      <c r="E561" s="78"/>
      <c r="F561" s="87"/>
      <c r="G561" s="78"/>
      <c r="J561" s="78"/>
      <c r="K561" s="78"/>
    </row>
    <row r="562" spans="1:11">
      <c r="A562" s="77"/>
      <c r="B562" s="104"/>
      <c r="C562" s="78"/>
      <c r="D562" s="78"/>
      <c r="E562" s="78"/>
      <c r="F562" s="87"/>
      <c r="G562" s="78"/>
      <c r="J562" s="78"/>
      <c r="K562" s="78"/>
    </row>
    <row r="563" spans="1:11">
      <c r="A563" s="77"/>
      <c r="B563" s="104"/>
      <c r="C563" s="78"/>
      <c r="D563" s="78"/>
      <c r="E563" s="78"/>
      <c r="F563" s="87"/>
      <c r="G563" s="78"/>
      <c r="J563" s="78"/>
      <c r="K563" s="78"/>
    </row>
    <row r="564" spans="1:11">
      <c r="A564" s="77"/>
      <c r="B564" s="104"/>
      <c r="C564" s="78"/>
      <c r="D564" s="78"/>
      <c r="E564" s="78"/>
      <c r="F564" s="87"/>
      <c r="G564" s="78"/>
      <c r="J564" s="78"/>
      <c r="K564" s="78"/>
    </row>
    <row r="565" spans="1:11">
      <c r="A565" s="77"/>
      <c r="B565" s="104"/>
      <c r="C565" s="78"/>
      <c r="D565" s="78"/>
      <c r="E565" s="78"/>
      <c r="F565" s="87"/>
      <c r="G565" s="78"/>
      <c r="J565" s="78"/>
      <c r="K565" s="78"/>
    </row>
    <row r="566" spans="1:11">
      <c r="A566" s="77"/>
      <c r="B566" s="104"/>
      <c r="C566" s="78"/>
      <c r="D566" s="78"/>
      <c r="E566" s="78"/>
      <c r="F566" s="87"/>
      <c r="G566" s="78"/>
      <c r="J566" s="78"/>
      <c r="K566" s="78"/>
    </row>
    <row r="567" spans="1:11">
      <c r="A567" s="77"/>
      <c r="B567" s="104"/>
      <c r="C567" s="78"/>
      <c r="D567" s="78"/>
      <c r="E567" s="78"/>
      <c r="F567" s="87"/>
      <c r="G567" s="78"/>
      <c r="J567" s="78"/>
      <c r="K567" s="78"/>
    </row>
    <row r="568" spans="1:11">
      <c r="A568" s="77"/>
      <c r="B568" s="104"/>
      <c r="C568" s="78"/>
      <c r="D568" s="78"/>
      <c r="E568" s="78"/>
      <c r="F568" s="87"/>
      <c r="G568" s="78"/>
      <c r="J568" s="78"/>
      <c r="K568" s="78"/>
    </row>
    <row r="569" spans="1:11">
      <c r="A569" s="77"/>
      <c r="B569" s="104"/>
      <c r="C569" s="78"/>
      <c r="D569" s="78"/>
      <c r="E569" s="78"/>
      <c r="F569" s="87"/>
      <c r="G569" s="78"/>
      <c r="J569" s="78"/>
      <c r="K569" s="78"/>
    </row>
    <row r="570" spans="1:11">
      <c r="A570" s="77"/>
      <c r="B570" s="104"/>
      <c r="C570" s="78"/>
      <c r="D570" s="78"/>
      <c r="E570" s="78"/>
      <c r="F570" s="87"/>
      <c r="G570" s="78"/>
      <c r="J570" s="78"/>
      <c r="K570" s="78"/>
    </row>
    <row r="571" spans="1:11">
      <c r="A571" s="77"/>
      <c r="B571" s="104"/>
      <c r="C571" s="78"/>
      <c r="D571" s="78"/>
      <c r="E571" s="78"/>
      <c r="F571" s="87"/>
      <c r="G571" s="78"/>
      <c r="J571" s="78"/>
      <c r="K571" s="78"/>
    </row>
    <row r="572" spans="1:11">
      <c r="A572" s="77"/>
      <c r="B572" s="104"/>
      <c r="C572" s="78"/>
      <c r="D572" s="78"/>
      <c r="E572" s="78"/>
      <c r="F572" s="87"/>
      <c r="G572" s="78"/>
      <c r="J572" s="78"/>
      <c r="K572" s="78"/>
    </row>
    <row r="573" spans="1:11">
      <c r="A573" s="77"/>
      <c r="B573" s="104"/>
      <c r="C573" s="78"/>
      <c r="D573" s="78"/>
      <c r="E573" s="78"/>
      <c r="F573" s="87"/>
      <c r="G573" s="78"/>
      <c r="J573" s="78"/>
      <c r="K573" s="78"/>
    </row>
    <row r="574" spans="1:11">
      <c r="A574" s="77"/>
      <c r="B574" s="104"/>
      <c r="C574" s="78"/>
      <c r="D574" s="78"/>
      <c r="E574" s="78"/>
      <c r="F574" s="87"/>
      <c r="G574" s="78"/>
      <c r="J574" s="78"/>
      <c r="K574" s="78"/>
    </row>
    <row r="575" spans="1:11">
      <c r="A575" s="77"/>
      <c r="B575" s="104"/>
      <c r="C575" s="78"/>
      <c r="D575" s="78"/>
      <c r="E575" s="78"/>
      <c r="F575" s="87"/>
      <c r="G575" s="78"/>
      <c r="J575" s="78"/>
      <c r="K575" s="78"/>
    </row>
    <row r="576" spans="1:11">
      <c r="A576" s="77"/>
      <c r="B576" s="104"/>
      <c r="C576" s="78"/>
      <c r="D576" s="78"/>
      <c r="E576" s="78"/>
      <c r="F576" s="87"/>
      <c r="G576" s="78"/>
      <c r="J576" s="78"/>
      <c r="K576" s="78"/>
    </row>
    <row r="577" spans="1:11">
      <c r="A577" s="77"/>
      <c r="B577" s="104"/>
      <c r="C577" s="78"/>
      <c r="D577" s="78"/>
      <c r="E577" s="78"/>
      <c r="F577" s="87"/>
      <c r="G577" s="78"/>
      <c r="J577" s="78"/>
      <c r="K577" s="78"/>
    </row>
    <row r="578" spans="1:11">
      <c r="A578" s="77"/>
      <c r="B578" s="104"/>
      <c r="C578" s="78"/>
      <c r="D578" s="78"/>
      <c r="E578" s="78"/>
      <c r="F578" s="87"/>
      <c r="G578" s="78"/>
      <c r="J578" s="78"/>
      <c r="K578" s="78"/>
    </row>
    <row r="579" spans="1:11">
      <c r="A579" s="77"/>
      <c r="B579" s="104"/>
      <c r="C579" s="78"/>
      <c r="D579" s="78"/>
      <c r="E579" s="78"/>
      <c r="F579" s="87"/>
      <c r="G579" s="78"/>
      <c r="J579" s="78"/>
      <c r="K579" s="78"/>
    </row>
    <row r="580" spans="1:11">
      <c r="A580" s="77"/>
      <c r="B580" s="104"/>
      <c r="C580" s="78"/>
      <c r="D580" s="78"/>
      <c r="E580" s="78"/>
      <c r="F580" s="87"/>
      <c r="G580" s="78"/>
      <c r="J580" s="78"/>
      <c r="K580" s="78"/>
    </row>
    <row r="581" spans="1:11">
      <c r="A581" s="77"/>
      <c r="B581" s="104"/>
      <c r="C581" s="78"/>
      <c r="D581" s="78"/>
      <c r="E581" s="78"/>
      <c r="F581" s="87"/>
      <c r="G581" s="78"/>
      <c r="J581" s="78"/>
      <c r="K581" s="78"/>
    </row>
    <row r="582" spans="1:11">
      <c r="A582" s="77"/>
      <c r="B582" s="104"/>
      <c r="C582" s="78"/>
      <c r="D582" s="78"/>
      <c r="E582" s="78"/>
      <c r="F582" s="87"/>
      <c r="G582" s="78"/>
      <c r="J582" s="78"/>
      <c r="K582" s="78"/>
    </row>
    <row r="583" spans="1:11">
      <c r="A583" s="77"/>
      <c r="B583" s="104"/>
      <c r="C583" s="78"/>
      <c r="D583" s="78"/>
      <c r="E583" s="78"/>
      <c r="F583" s="87"/>
      <c r="G583" s="78"/>
      <c r="J583" s="78"/>
      <c r="K583" s="78"/>
    </row>
    <row r="584" spans="1:11">
      <c r="A584" s="77"/>
      <c r="B584" s="104"/>
      <c r="C584" s="78"/>
      <c r="D584" s="78"/>
      <c r="E584" s="78"/>
      <c r="F584" s="87"/>
      <c r="G584" s="78"/>
      <c r="J584" s="78"/>
      <c r="K584" s="78"/>
    </row>
    <row r="585" spans="1:11">
      <c r="A585" s="77"/>
      <c r="B585" s="104"/>
      <c r="C585" s="78"/>
      <c r="D585" s="78"/>
      <c r="E585" s="78"/>
      <c r="F585" s="87"/>
      <c r="G585" s="78"/>
      <c r="J585" s="78"/>
      <c r="K585" s="78"/>
    </row>
    <row r="586" spans="1:11">
      <c r="A586" s="77"/>
      <c r="B586" s="104"/>
      <c r="C586" s="78"/>
      <c r="D586" s="78"/>
      <c r="E586" s="78"/>
      <c r="F586" s="87"/>
      <c r="G586" s="78"/>
      <c r="J586" s="78"/>
      <c r="K586" s="78"/>
    </row>
    <row r="587" spans="1:11">
      <c r="A587" s="77"/>
      <c r="B587" s="104"/>
      <c r="C587" s="78"/>
      <c r="D587" s="78"/>
      <c r="E587" s="78"/>
      <c r="F587" s="87"/>
      <c r="G587" s="78"/>
      <c r="J587" s="78"/>
      <c r="K587" s="78"/>
    </row>
    <row r="588" spans="1:11">
      <c r="A588" s="77"/>
      <c r="B588" s="104"/>
      <c r="C588" s="78"/>
      <c r="D588" s="78"/>
      <c r="E588" s="78"/>
      <c r="F588" s="87"/>
      <c r="G588" s="78"/>
      <c r="J588" s="78"/>
      <c r="K588" s="78"/>
    </row>
    <row r="589" spans="1:11">
      <c r="A589" s="77"/>
      <c r="B589" s="104"/>
      <c r="C589" s="78"/>
      <c r="D589" s="78"/>
      <c r="E589" s="78"/>
      <c r="F589" s="87"/>
      <c r="G589" s="78"/>
      <c r="J589" s="78"/>
      <c r="K589" s="78"/>
    </row>
    <row r="590" spans="1:11">
      <c r="A590" s="77"/>
      <c r="B590" s="104"/>
      <c r="C590" s="78"/>
      <c r="D590" s="78"/>
      <c r="E590" s="78"/>
      <c r="F590" s="87"/>
      <c r="G590" s="78"/>
      <c r="J590" s="78"/>
      <c r="K590" s="78"/>
    </row>
    <row r="591" spans="1:11">
      <c r="A591" s="77"/>
      <c r="B591" s="104"/>
      <c r="C591" s="78"/>
      <c r="D591" s="78"/>
      <c r="E591" s="78"/>
      <c r="F591" s="87"/>
      <c r="G591" s="78"/>
      <c r="J591" s="78"/>
      <c r="K591" s="78"/>
    </row>
    <row r="592" spans="1:11">
      <c r="A592" s="77"/>
      <c r="B592" s="104"/>
      <c r="C592" s="78"/>
      <c r="D592" s="78"/>
      <c r="E592" s="78"/>
      <c r="F592" s="87"/>
      <c r="G592" s="78"/>
      <c r="J592" s="78"/>
      <c r="K592" s="78"/>
    </row>
    <row r="593" spans="1:11">
      <c r="A593" s="77"/>
      <c r="B593" s="104"/>
      <c r="C593" s="78"/>
      <c r="D593" s="78"/>
      <c r="E593" s="78"/>
      <c r="F593" s="87"/>
      <c r="G593" s="78"/>
      <c r="J593" s="78"/>
      <c r="K593" s="78"/>
    </row>
    <row r="594" spans="1:11">
      <c r="A594" s="77"/>
      <c r="B594" s="104"/>
      <c r="C594" s="78"/>
      <c r="D594" s="78"/>
      <c r="E594" s="78"/>
      <c r="F594" s="87"/>
      <c r="G594" s="78"/>
      <c r="J594" s="78"/>
      <c r="K594" s="78"/>
    </row>
    <row r="595" spans="1:11">
      <c r="A595" s="77"/>
      <c r="B595" s="104"/>
      <c r="C595" s="78"/>
      <c r="D595" s="78"/>
      <c r="E595" s="78"/>
      <c r="F595" s="87"/>
      <c r="G595" s="78"/>
      <c r="J595" s="78"/>
      <c r="K595" s="78"/>
    </row>
    <row r="596" spans="1:11">
      <c r="A596" s="77"/>
      <c r="B596" s="104"/>
      <c r="C596" s="78"/>
      <c r="D596" s="78"/>
      <c r="E596" s="78"/>
      <c r="F596" s="87"/>
      <c r="G596" s="78"/>
      <c r="J596" s="78"/>
      <c r="K596" s="78"/>
    </row>
    <row r="597" spans="1:11">
      <c r="A597" s="77"/>
      <c r="B597" s="104"/>
      <c r="C597" s="78"/>
      <c r="D597" s="78"/>
      <c r="E597" s="78"/>
      <c r="F597" s="87"/>
      <c r="G597" s="78"/>
      <c r="J597" s="78"/>
      <c r="K597" s="78"/>
    </row>
    <row r="598" spans="1:11">
      <c r="A598" s="77"/>
      <c r="B598" s="104"/>
      <c r="C598" s="78"/>
      <c r="D598" s="78"/>
      <c r="E598" s="78"/>
      <c r="F598" s="87"/>
      <c r="G598" s="78"/>
      <c r="J598" s="78"/>
      <c r="K598" s="78"/>
    </row>
    <row r="599" spans="1:11">
      <c r="A599" s="77"/>
      <c r="B599" s="104"/>
      <c r="C599" s="78"/>
      <c r="D599" s="78"/>
      <c r="E599" s="78"/>
      <c r="F599" s="87"/>
      <c r="G599" s="78"/>
      <c r="J599" s="78"/>
      <c r="K599" s="78"/>
    </row>
    <row r="600" spans="1:11">
      <c r="A600" s="77"/>
      <c r="B600" s="104"/>
      <c r="C600" s="78"/>
      <c r="D600" s="78"/>
      <c r="E600" s="78"/>
      <c r="F600" s="87"/>
      <c r="G600" s="78"/>
      <c r="J600" s="78"/>
      <c r="K600" s="78"/>
    </row>
    <row r="601" spans="1:11">
      <c r="A601" s="77"/>
      <c r="B601" s="104"/>
      <c r="C601" s="78"/>
      <c r="D601" s="78"/>
      <c r="E601" s="78"/>
      <c r="F601" s="87"/>
      <c r="G601" s="78"/>
      <c r="J601" s="78"/>
      <c r="K601" s="78"/>
    </row>
    <row r="602" spans="1:11">
      <c r="A602" s="77"/>
      <c r="B602" s="104"/>
      <c r="C602" s="78"/>
      <c r="D602" s="78"/>
      <c r="E602" s="78"/>
      <c r="F602" s="87"/>
      <c r="G602" s="78"/>
      <c r="J602" s="78"/>
      <c r="K602" s="78"/>
    </row>
    <row r="603" spans="1:11">
      <c r="A603" s="77"/>
      <c r="B603" s="104"/>
      <c r="C603" s="78"/>
      <c r="D603" s="78"/>
      <c r="E603" s="78"/>
      <c r="F603" s="87"/>
      <c r="G603" s="78"/>
      <c r="J603" s="78"/>
      <c r="K603" s="78"/>
    </row>
    <row r="604" spans="1:11">
      <c r="A604" s="77"/>
      <c r="B604" s="104"/>
      <c r="C604" s="78"/>
      <c r="D604" s="78"/>
      <c r="E604" s="78"/>
      <c r="F604" s="87"/>
      <c r="G604" s="78"/>
      <c r="J604" s="78"/>
      <c r="K604" s="78"/>
    </row>
    <row r="605" spans="1:11">
      <c r="A605" s="77"/>
      <c r="B605" s="104"/>
      <c r="C605" s="78"/>
      <c r="D605" s="78"/>
      <c r="E605" s="78"/>
      <c r="F605" s="87"/>
      <c r="G605" s="78"/>
      <c r="J605" s="78"/>
      <c r="K605" s="78"/>
    </row>
    <row r="606" spans="1:11">
      <c r="A606" s="77"/>
      <c r="B606" s="104"/>
      <c r="C606" s="78"/>
      <c r="D606" s="78"/>
      <c r="E606" s="78"/>
      <c r="F606" s="87"/>
      <c r="G606" s="78"/>
      <c r="J606" s="78"/>
      <c r="K606" s="78"/>
    </row>
    <row r="607" spans="1:11">
      <c r="A607" s="77"/>
      <c r="B607" s="104"/>
      <c r="C607" s="78"/>
      <c r="D607" s="78"/>
      <c r="E607" s="78"/>
      <c r="F607" s="87"/>
      <c r="G607" s="78"/>
      <c r="J607" s="78"/>
      <c r="K607" s="78"/>
    </row>
    <row r="608" spans="1:11">
      <c r="A608" s="77"/>
      <c r="B608" s="104"/>
      <c r="C608" s="78"/>
      <c r="D608" s="78"/>
      <c r="E608" s="78"/>
      <c r="F608" s="87"/>
      <c r="G608" s="78"/>
      <c r="J608" s="78"/>
      <c r="K608" s="78"/>
    </row>
    <row r="609" spans="1:11">
      <c r="A609" s="77"/>
      <c r="B609" s="104"/>
      <c r="C609" s="78"/>
      <c r="D609" s="78"/>
      <c r="E609" s="78"/>
      <c r="F609" s="87"/>
      <c r="G609" s="78"/>
      <c r="J609" s="78"/>
      <c r="K609" s="78"/>
    </row>
    <row r="610" spans="1:11">
      <c r="A610" s="77"/>
      <c r="B610" s="104"/>
      <c r="C610" s="78"/>
      <c r="D610" s="78"/>
      <c r="E610" s="78"/>
      <c r="F610" s="87"/>
      <c r="G610" s="78"/>
      <c r="J610" s="78"/>
      <c r="K610" s="78"/>
    </row>
    <row r="611" spans="1:11">
      <c r="A611" s="77"/>
      <c r="B611" s="104"/>
      <c r="C611" s="78"/>
      <c r="D611" s="78"/>
      <c r="E611" s="78"/>
      <c r="F611" s="87"/>
      <c r="G611" s="78"/>
      <c r="J611" s="78"/>
      <c r="K611" s="78"/>
    </row>
    <row r="612" spans="1:11">
      <c r="A612" s="77"/>
      <c r="B612" s="104"/>
      <c r="C612" s="78"/>
      <c r="D612" s="78"/>
      <c r="E612" s="78"/>
      <c r="F612" s="87"/>
      <c r="G612" s="78"/>
      <c r="J612" s="78"/>
      <c r="K612" s="78"/>
    </row>
    <row r="613" spans="1:11">
      <c r="A613" s="77"/>
      <c r="B613" s="104"/>
      <c r="C613" s="78"/>
      <c r="D613" s="78"/>
      <c r="E613" s="78"/>
      <c r="F613" s="87"/>
      <c r="G613" s="78"/>
      <c r="J613" s="78"/>
      <c r="K613" s="78"/>
    </row>
    <row r="614" spans="1:11">
      <c r="A614" s="77"/>
      <c r="B614" s="104"/>
      <c r="C614" s="78"/>
      <c r="D614" s="78"/>
      <c r="E614" s="78"/>
      <c r="F614" s="87"/>
      <c r="G614" s="78"/>
      <c r="J614" s="78"/>
      <c r="K614" s="78"/>
    </row>
    <row r="615" spans="1:11">
      <c r="A615" s="77"/>
      <c r="B615" s="104"/>
      <c r="C615" s="78"/>
      <c r="D615" s="78"/>
      <c r="E615" s="78"/>
      <c r="F615" s="87"/>
      <c r="G615" s="78"/>
      <c r="J615" s="78"/>
      <c r="K615" s="78"/>
    </row>
    <row r="616" spans="1:11">
      <c r="A616" s="77"/>
      <c r="B616" s="104"/>
      <c r="C616" s="78"/>
      <c r="D616" s="78"/>
      <c r="E616" s="78"/>
      <c r="F616" s="87"/>
      <c r="G616" s="78"/>
      <c r="J616" s="78"/>
      <c r="K616" s="78"/>
    </row>
    <row r="617" spans="1:11">
      <c r="A617" s="77"/>
      <c r="B617" s="104"/>
      <c r="C617" s="78"/>
      <c r="D617" s="78"/>
      <c r="E617" s="78"/>
      <c r="F617" s="87"/>
      <c r="G617" s="78"/>
      <c r="J617" s="78"/>
      <c r="K617" s="78"/>
    </row>
    <row r="618" spans="1:11">
      <c r="A618" s="77"/>
      <c r="B618" s="104"/>
      <c r="C618" s="78"/>
      <c r="D618" s="78"/>
      <c r="E618" s="78"/>
      <c r="F618" s="87"/>
      <c r="G618" s="78"/>
      <c r="J618" s="78"/>
      <c r="K618" s="78"/>
    </row>
    <row r="619" spans="1:11">
      <c r="A619" s="77"/>
      <c r="B619" s="104"/>
      <c r="C619" s="78"/>
      <c r="D619" s="78"/>
      <c r="E619" s="78"/>
      <c r="F619" s="87"/>
      <c r="G619" s="78"/>
      <c r="J619" s="78"/>
      <c r="K619" s="78"/>
    </row>
    <row r="620" spans="1:11">
      <c r="A620" s="77"/>
      <c r="B620" s="104"/>
      <c r="C620" s="78"/>
      <c r="D620" s="78"/>
      <c r="E620" s="78"/>
      <c r="F620" s="87"/>
      <c r="G620" s="78"/>
      <c r="J620" s="78"/>
      <c r="K620" s="78"/>
    </row>
    <row r="621" spans="1:11">
      <c r="A621" s="77"/>
      <c r="B621" s="104"/>
      <c r="C621" s="78"/>
      <c r="D621" s="78"/>
      <c r="E621" s="78"/>
      <c r="F621" s="87"/>
      <c r="G621" s="78"/>
      <c r="J621" s="78"/>
      <c r="K621" s="78"/>
    </row>
    <row r="622" spans="1:11">
      <c r="A622" s="77"/>
      <c r="B622" s="104"/>
      <c r="C622" s="78"/>
      <c r="D622" s="78"/>
      <c r="E622" s="78"/>
      <c r="F622" s="87"/>
      <c r="G622" s="78"/>
      <c r="J622" s="78"/>
      <c r="K622" s="78"/>
    </row>
    <row r="623" spans="1:11">
      <c r="A623" s="77"/>
      <c r="B623" s="104"/>
      <c r="C623" s="78"/>
      <c r="D623" s="78"/>
      <c r="E623" s="78"/>
      <c r="F623" s="87"/>
      <c r="G623" s="78"/>
      <c r="J623" s="78"/>
      <c r="K623" s="78"/>
    </row>
    <row r="624" spans="1:11">
      <c r="A624" s="77"/>
      <c r="B624" s="104"/>
      <c r="C624" s="78"/>
      <c r="D624" s="78"/>
      <c r="E624" s="78"/>
      <c r="F624" s="87"/>
      <c r="G624" s="78"/>
      <c r="J624" s="78"/>
      <c r="K624" s="78"/>
    </row>
    <row r="625" spans="1:11">
      <c r="A625" s="77"/>
      <c r="B625" s="104"/>
      <c r="C625" s="78"/>
      <c r="D625" s="78"/>
      <c r="E625" s="78"/>
      <c r="F625" s="87"/>
      <c r="G625" s="78"/>
      <c r="J625" s="78"/>
      <c r="K625" s="78"/>
    </row>
    <row r="626" spans="1:11">
      <c r="A626" s="77"/>
      <c r="B626" s="104"/>
      <c r="C626" s="78"/>
      <c r="D626" s="78"/>
      <c r="E626" s="78"/>
      <c r="F626" s="87"/>
      <c r="G626" s="78"/>
      <c r="J626" s="78"/>
      <c r="K626" s="78"/>
    </row>
    <row r="627" spans="1:11">
      <c r="A627" s="77"/>
      <c r="B627" s="104"/>
      <c r="C627" s="78"/>
      <c r="D627" s="78"/>
      <c r="E627" s="78"/>
      <c r="F627" s="87"/>
      <c r="G627" s="78"/>
      <c r="J627" s="78"/>
      <c r="K627" s="78"/>
    </row>
    <row r="628" spans="1:11">
      <c r="A628" s="77"/>
      <c r="B628" s="104"/>
      <c r="C628" s="78"/>
      <c r="D628" s="78"/>
      <c r="E628" s="78"/>
      <c r="F628" s="87"/>
      <c r="G628" s="78"/>
      <c r="J628" s="78"/>
      <c r="K628" s="78"/>
    </row>
    <row r="629" spans="1:11">
      <c r="A629" s="77"/>
      <c r="B629" s="104"/>
      <c r="C629" s="78"/>
      <c r="D629" s="78"/>
      <c r="E629" s="78"/>
      <c r="F629" s="87"/>
      <c r="G629" s="78"/>
      <c r="J629" s="78"/>
      <c r="K629" s="78"/>
    </row>
    <row r="630" spans="1:11">
      <c r="A630" s="77"/>
      <c r="B630" s="104"/>
      <c r="C630" s="78"/>
      <c r="D630" s="78"/>
      <c r="E630" s="78"/>
      <c r="F630" s="87"/>
      <c r="G630" s="78"/>
      <c r="J630" s="78"/>
      <c r="K630" s="78"/>
    </row>
    <row r="631" spans="1:11">
      <c r="A631" s="77"/>
      <c r="B631" s="104"/>
      <c r="C631" s="78"/>
      <c r="D631" s="78"/>
      <c r="E631" s="78"/>
      <c r="F631" s="87"/>
      <c r="G631" s="78"/>
      <c r="J631" s="78"/>
      <c r="K631" s="78"/>
    </row>
    <row r="632" spans="1:11">
      <c r="A632" s="77"/>
      <c r="B632" s="104"/>
      <c r="C632" s="78"/>
      <c r="D632" s="78"/>
      <c r="E632" s="78"/>
      <c r="F632" s="87"/>
      <c r="G632" s="78"/>
      <c r="J632" s="78"/>
      <c r="K632" s="78"/>
    </row>
    <row r="633" spans="1:11">
      <c r="A633" s="77"/>
      <c r="B633" s="104"/>
      <c r="C633" s="78"/>
      <c r="D633" s="78"/>
      <c r="E633" s="78"/>
      <c r="F633" s="87"/>
      <c r="G633" s="78"/>
      <c r="J633" s="78"/>
      <c r="K633" s="78"/>
    </row>
    <row r="634" spans="1:11">
      <c r="A634" s="77"/>
      <c r="B634" s="104"/>
      <c r="C634" s="78"/>
      <c r="D634" s="78"/>
      <c r="E634" s="78"/>
      <c r="F634" s="87"/>
      <c r="G634" s="78"/>
      <c r="J634" s="78"/>
      <c r="K634" s="78"/>
    </row>
    <row r="635" spans="1:11">
      <c r="A635" s="77"/>
      <c r="B635" s="104"/>
      <c r="C635" s="78"/>
      <c r="D635" s="78"/>
      <c r="E635" s="78"/>
      <c r="F635" s="87"/>
      <c r="G635" s="78"/>
      <c r="J635" s="78"/>
      <c r="K635" s="78"/>
    </row>
    <row r="636" spans="1:11">
      <c r="A636" s="77"/>
      <c r="B636" s="104"/>
      <c r="C636" s="78"/>
      <c r="D636" s="78"/>
      <c r="E636" s="78"/>
      <c r="F636" s="87"/>
      <c r="G636" s="78"/>
      <c r="J636" s="78"/>
      <c r="K636" s="78"/>
    </row>
    <row r="637" spans="1:11">
      <c r="A637" s="77"/>
      <c r="B637" s="104"/>
      <c r="C637" s="78"/>
      <c r="D637" s="78"/>
      <c r="E637" s="78"/>
      <c r="F637" s="87"/>
      <c r="G637" s="78"/>
      <c r="J637" s="78"/>
      <c r="K637" s="78"/>
    </row>
    <row r="638" spans="1:11">
      <c r="A638" s="77"/>
      <c r="B638" s="104"/>
      <c r="C638" s="78"/>
      <c r="D638" s="78"/>
      <c r="E638" s="78"/>
      <c r="F638" s="87"/>
      <c r="G638" s="78"/>
      <c r="J638" s="78"/>
      <c r="K638" s="78"/>
    </row>
    <row r="639" spans="1:11">
      <c r="A639" s="77"/>
      <c r="B639" s="104"/>
      <c r="C639" s="78"/>
      <c r="D639" s="78"/>
      <c r="E639" s="78"/>
      <c r="F639" s="87"/>
      <c r="G639" s="78"/>
      <c r="J639" s="78"/>
      <c r="K639" s="78"/>
    </row>
    <row r="640" spans="1:11">
      <c r="A640" s="77"/>
      <c r="B640" s="104"/>
      <c r="C640" s="78"/>
      <c r="D640" s="78"/>
      <c r="E640" s="78"/>
      <c r="F640" s="87"/>
      <c r="G640" s="78"/>
      <c r="J640" s="78"/>
      <c r="K640" s="78"/>
    </row>
    <row r="641" spans="1:11">
      <c r="A641" s="77"/>
      <c r="B641" s="104"/>
      <c r="C641" s="78"/>
      <c r="D641" s="78"/>
      <c r="E641" s="78"/>
      <c r="F641" s="87"/>
      <c r="G641" s="78"/>
      <c r="J641" s="78"/>
      <c r="K641" s="78"/>
    </row>
    <row r="642" spans="1:11">
      <c r="A642" s="77"/>
      <c r="B642" s="104"/>
      <c r="C642" s="78"/>
      <c r="D642" s="78"/>
      <c r="E642" s="78"/>
      <c r="F642" s="87"/>
      <c r="G642" s="78"/>
      <c r="J642" s="78"/>
      <c r="K642" s="78"/>
    </row>
    <row r="643" spans="1:11">
      <c r="A643" s="77"/>
      <c r="B643" s="104"/>
      <c r="C643" s="78"/>
      <c r="D643" s="78"/>
      <c r="E643" s="78"/>
      <c r="F643" s="87"/>
      <c r="G643" s="78"/>
      <c r="J643" s="78"/>
      <c r="K643" s="78"/>
    </row>
    <row r="644" spans="1:11">
      <c r="A644" s="77"/>
      <c r="B644" s="104"/>
      <c r="C644" s="78"/>
      <c r="D644" s="78"/>
      <c r="E644" s="78"/>
      <c r="F644" s="87"/>
      <c r="G644" s="78"/>
      <c r="J644" s="78"/>
      <c r="K644" s="78"/>
    </row>
    <row r="645" spans="1:11">
      <c r="A645" s="77"/>
      <c r="B645" s="104"/>
      <c r="C645" s="78"/>
      <c r="D645" s="78"/>
      <c r="E645" s="78"/>
      <c r="F645" s="87"/>
      <c r="G645" s="78"/>
      <c r="J645" s="78"/>
      <c r="K645" s="78"/>
    </row>
    <row r="646" spans="1:11">
      <c r="A646" s="77"/>
      <c r="B646" s="104"/>
      <c r="C646" s="78"/>
      <c r="D646" s="78"/>
      <c r="E646" s="78"/>
      <c r="F646" s="87"/>
      <c r="G646" s="78"/>
      <c r="J646" s="78"/>
      <c r="K646" s="78"/>
    </row>
    <row r="647" spans="1:11">
      <c r="A647" s="77"/>
      <c r="B647" s="104"/>
      <c r="C647" s="78"/>
      <c r="D647" s="78"/>
      <c r="E647" s="78"/>
      <c r="F647" s="87"/>
      <c r="G647" s="78"/>
      <c r="J647" s="78"/>
      <c r="K647" s="78"/>
    </row>
    <row r="648" spans="1:11">
      <c r="A648" s="77"/>
      <c r="B648" s="104"/>
      <c r="C648" s="78"/>
      <c r="D648" s="78"/>
      <c r="E648" s="78"/>
      <c r="F648" s="87"/>
      <c r="G648" s="78"/>
      <c r="J648" s="78"/>
      <c r="K648" s="78"/>
    </row>
    <row r="649" spans="1:11">
      <c r="A649" s="77"/>
      <c r="B649" s="104"/>
      <c r="C649" s="78"/>
      <c r="D649" s="78"/>
      <c r="E649" s="78"/>
      <c r="F649" s="87"/>
      <c r="G649" s="78"/>
      <c r="J649" s="78"/>
      <c r="K649" s="78"/>
    </row>
    <row r="650" spans="1:11">
      <c r="A650" s="77"/>
      <c r="B650" s="104"/>
      <c r="C650" s="78"/>
      <c r="D650" s="78"/>
      <c r="E650" s="78"/>
      <c r="F650" s="87"/>
      <c r="G650" s="78"/>
      <c r="J650" s="78"/>
      <c r="K650" s="78"/>
    </row>
    <row r="651" spans="1:11">
      <c r="A651" s="77"/>
      <c r="B651" s="104"/>
      <c r="C651" s="78"/>
      <c r="D651" s="78"/>
      <c r="E651" s="78"/>
      <c r="F651" s="87"/>
      <c r="G651" s="78"/>
      <c r="J651" s="78"/>
      <c r="K651" s="78"/>
    </row>
    <row r="652" spans="1:11">
      <c r="A652" s="77"/>
      <c r="B652" s="104"/>
      <c r="C652" s="78"/>
      <c r="D652" s="78"/>
      <c r="E652" s="78"/>
      <c r="F652" s="87"/>
      <c r="G652" s="78"/>
      <c r="J652" s="78"/>
      <c r="K652" s="78"/>
    </row>
    <row r="653" spans="1:11">
      <c r="A653" s="77"/>
      <c r="B653" s="104"/>
      <c r="C653" s="78"/>
      <c r="D653" s="78"/>
      <c r="E653" s="78"/>
      <c r="F653" s="87"/>
      <c r="G653" s="78"/>
      <c r="J653" s="78"/>
      <c r="K653" s="78"/>
    </row>
    <row r="654" spans="1:11">
      <c r="A654" s="77"/>
      <c r="B654" s="104"/>
      <c r="C654" s="78"/>
      <c r="D654" s="78"/>
      <c r="E654" s="78"/>
      <c r="F654" s="87"/>
      <c r="G654" s="78"/>
      <c r="J654" s="78"/>
      <c r="K654" s="78"/>
    </row>
    <row r="655" spans="1:11">
      <c r="A655" s="77"/>
      <c r="B655" s="104"/>
      <c r="C655" s="78"/>
      <c r="D655" s="78"/>
      <c r="E655" s="78"/>
      <c r="F655" s="87"/>
      <c r="G655" s="78"/>
      <c r="J655" s="78"/>
      <c r="K655" s="78"/>
    </row>
    <row r="656" spans="1:11">
      <c r="A656" s="77"/>
      <c r="B656" s="104"/>
      <c r="C656" s="78"/>
      <c r="D656" s="78"/>
      <c r="E656" s="78"/>
      <c r="F656" s="87"/>
      <c r="G656" s="78"/>
      <c r="J656" s="78"/>
      <c r="K656" s="78"/>
    </row>
    <row r="657" spans="1:11">
      <c r="A657" s="77"/>
      <c r="B657" s="104"/>
      <c r="C657" s="78"/>
      <c r="D657" s="78"/>
      <c r="E657" s="78"/>
      <c r="F657" s="87"/>
      <c r="G657" s="78"/>
      <c r="J657" s="78"/>
      <c r="K657" s="78"/>
    </row>
    <row r="658" spans="1:11">
      <c r="A658" s="77"/>
      <c r="B658" s="104"/>
      <c r="C658" s="78"/>
      <c r="D658" s="78"/>
      <c r="E658" s="78"/>
      <c r="F658" s="87"/>
      <c r="G658" s="78"/>
      <c r="J658" s="78"/>
      <c r="K658" s="78"/>
    </row>
    <row r="659" spans="1:11">
      <c r="A659" s="77"/>
      <c r="B659" s="104"/>
      <c r="C659" s="78"/>
      <c r="D659" s="78"/>
      <c r="E659" s="78"/>
      <c r="F659" s="87"/>
      <c r="G659" s="78"/>
      <c r="J659" s="78"/>
      <c r="K659" s="78"/>
    </row>
    <row r="660" spans="1:11">
      <c r="A660" s="77"/>
      <c r="B660" s="104"/>
      <c r="C660" s="78"/>
      <c r="D660" s="78"/>
      <c r="E660" s="78"/>
      <c r="F660" s="87"/>
      <c r="G660" s="78"/>
      <c r="J660" s="78"/>
      <c r="K660" s="78"/>
    </row>
    <row r="661" spans="1:11">
      <c r="A661" s="77"/>
      <c r="B661" s="104"/>
      <c r="C661" s="78"/>
      <c r="D661" s="78"/>
      <c r="E661" s="78"/>
      <c r="F661" s="87"/>
      <c r="G661" s="78"/>
      <c r="J661" s="78"/>
      <c r="K661" s="78"/>
    </row>
    <row r="662" spans="1:11">
      <c r="A662" s="77"/>
      <c r="B662" s="104"/>
      <c r="C662" s="78"/>
      <c r="D662" s="78"/>
      <c r="E662" s="78"/>
      <c r="F662" s="87"/>
      <c r="G662" s="78"/>
      <c r="J662" s="78"/>
      <c r="K662" s="78"/>
    </row>
    <row r="663" spans="1:11">
      <c r="A663" s="77"/>
      <c r="B663" s="104"/>
      <c r="C663" s="78"/>
      <c r="D663" s="78"/>
      <c r="E663" s="78"/>
      <c r="F663" s="87"/>
      <c r="G663" s="78"/>
      <c r="J663" s="78"/>
      <c r="K663" s="78"/>
    </row>
    <row r="664" spans="1:11">
      <c r="A664" s="77"/>
      <c r="B664" s="104"/>
      <c r="C664" s="78"/>
      <c r="D664" s="78"/>
      <c r="E664" s="78"/>
      <c r="F664" s="87"/>
      <c r="G664" s="78"/>
      <c r="J664" s="78"/>
      <c r="K664" s="78"/>
    </row>
    <row r="665" spans="1:11">
      <c r="A665" s="77"/>
      <c r="B665" s="104"/>
      <c r="C665" s="78"/>
      <c r="D665" s="78"/>
      <c r="E665" s="78"/>
      <c r="F665" s="87"/>
      <c r="G665" s="78"/>
      <c r="J665" s="78"/>
      <c r="K665" s="78"/>
    </row>
    <row r="666" spans="1:11">
      <c r="A666" s="77"/>
      <c r="B666" s="104"/>
      <c r="C666" s="78"/>
      <c r="D666" s="78"/>
      <c r="E666" s="78"/>
      <c r="F666" s="87"/>
      <c r="G666" s="78"/>
      <c r="J666" s="78"/>
      <c r="K666" s="78"/>
    </row>
    <row r="667" spans="1:11">
      <c r="A667" s="77"/>
      <c r="B667" s="104"/>
      <c r="C667" s="78"/>
      <c r="D667" s="78"/>
      <c r="E667" s="78"/>
      <c r="F667" s="87"/>
      <c r="G667" s="78"/>
      <c r="J667" s="78"/>
      <c r="K667" s="78"/>
    </row>
    <row r="668" spans="1:11">
      <c r="A668" s="77"/>
      <c r="B668" s="104"/>
      <c r="C668" s="78"/>
      <c r="D668" s="78"/>
      <c r="E668" s="78"/>
      <c r="F668" s="87"/>
      <c r="G668" s="78"/>
      <c r="J668" s="78"/>
      <c r="K668" s="78"/>
    </row>
    <row r="669" spans="1:11">
      <c r="A669" s="77"/>
      <c r="B669" s="104"/>
      <c r="C669" s="78"/>
      <c r="D669" s="78"/>
      <c r="E669" s="78"/>
      <c r="F669" s="87"/>
      <c r="G669" s="78"/>
      <c r="J669" s="78"/>
      <c r="K669" s="78"/>
    </row>
    <row r="670" spans="1:11">
      <c r="A670" s="77"/>
      <c r="B670" s="104"/>
      <c r="C670" s="78"/>
      <c r="D670" s="78"/>
      <c r="E670" s="78"/>
      <c r="F670" s="87"/>
      <c r="G670" s="78"/>
      <c r="J670" s="78"/>
      <c r="K670" s="78"/>
    </row>
    <row r="671" spans="1:11">
      <c r="A671" s="77"/>
      <c r="B671" s="104"/>
      <c r="C671" s="78"/>
      <c r="D671" s="78"/>
      <c r="E671" s="78"/>
      <c r="F671" s="87"/>
      <c r="G671" s="78"/>
      <c r="J671" s="78"/>
      <c r="K671" s="78"/>
    </row>
    <row r="672" spans="1:11">
      <c r="A672" s="77"/>
      <c r="B672" s="104"/>
      <c r="C672" s="78"/>
      <c r="D672" s="78"/>
      <c r="E672" s="78"/>
      <c r="F672" s="87"/>
      <c r="G672" s="78"/>
      <c r="J672" s="78"/>
      <c r="K672" s="78"/>
    </row>
    <row r="673" spans="1:11">
      <c r="A673" s="77"/>
      <c r="B673" s="104"/>
      <c r="C673" s="78"/>
      <c r="D673" s="78"/>
      <c r="E673" s="78"/>
      <c r="F673" s="87"/>
      <c r="G673" s="78"/>
      <c r="J673" s="78"/>
      <c r="K673" s="78"/>
    </row>
    <row r="674" spans="1:11">
      <c r="A674" s="77"/>
      <c r="B674" s="104"/>
      <c r="C674" s="78"/>
      <c r="D674" s="78"/>
      <c r="E674" s="78"/>
      <c r="F674" s="87"/>
      <c r="G674" s="78"/>
      <c r="J674" s="78"/>
      <c r="K674" s="78"/>
    </row>
    <row r="675" spans="1:11">
      <c r="A675" s="77"/>
      <c r="B675" s="104"/>
      <c r="C675" s="78"/>
      <c r="D675" s="78"/>
      <c r="E675" s="78"/>
      <c r="F675" s="87"/>
      <c r="G675" s="78"/>
      <c r="J675" s="78"/>
      <c r="K675" s="78"/>
    </row>
    <row r="676" spans="1:11">
      <c r="A676" s="77"/>
      <c r="B676" s="104"/>
      <c r="C676" s="78"/>
      <c r="D676" s="78"/>
      <c r="E676" s="78"/>
      <c r="F676" s="87"/>
      <c r="G676" s="78"/>
      <c r="J676" s="78"/>
      <c r="K676" s="78"/>
    </row>
    <row r="677" spans="1:11">
      <c r="A677" s="77"/>
      <c r="B677" s="104"/>
      <c r="C677" s="78"/>
      <c r="D677" s="78"/>
      <c r="E677" s="78"/>
      <c r="F677" s="87"/>
      <c r="G677" s="78"/>
      <c r="J677" s="78"/>
      <c r="K677" s="78"/>
    </row>
    <row r="678" spans="1:11">
      <c r="A678" s="77"/>
      <c r="B678" s="104"/>
      <c r="C678" s="78"/>
      <c r="D678" s="78"/>
      <c r="E678" s="78"/>
      <c r="F678" s="87"/>
      <c r="G678" s="78"/>
      <c r="J678" s="78"/>
      <c r="K678" s="78"/>
    </row>
    <row r="679" spans="1:11">
      <c r="A679" s="77"/>
      <c r="B679" s="104"/>
      <c r="C679" s="78"/>
      <c r="D679" s="78"/>
      <c r="E679" s="78"/>
      <c r="F679" s="87"/>
      <c r="G679" s="78"/>
      <c r="J679" s="78"/>
      <c r="K679" s="78"/>
    </row>
    <row r="680" spans="1:11">
      <c r="A680" s="77"/>
      <c r="B680" s="104"/>
      <c r="C680" s="78"/>
      <c r="D680" s="78"/>
      <c r="E680" s="78"/>
      <c r="F680" s="87"/>
      <c r="G680" s="78"/>
      <c r="J680" s="78"/>
      <c r="K680" s="78"/>
    </row>
    <row r="681" spans="1:11">
      <c r="A681" s="77"/>
      <c r="B681" s="104"/>
      <c r="C681" s="78"/>
      <c r="D681" s="78"/>
      <c r="E681" s="78"/>
      <c r="F681" s="87"/>
      <c r="G681" s="78"/>
      <c r="J681" s="78"/>
      <c r="K681" s="78"/>
    </row>
    <row r="682" spans="1:11">
      <c r="A682" s="77"/>
      <c r="B682" s="104"/>
      <c r="C682" s="78"/>
      <c r="D682" s="78"/>
      <c r="E682" s="78"/>
      <c r="F682" s="87"/>
      <c r="G682" s="78"/>
      <c r="J682" s="78"/>
      <c r="K682" s="78"/>
    </row>
    <row r="683" spans="1:11">
      <c r="A683" s="77"/>
      <c r="B683" s="104"/>
      <c r="C683" s="78"/>
      <c r="D683" s="78"/>
      <c r="E683" s="78"/>
      <c r="F683" s="87"/>
      <c r="G683" s="78"/>
      <c r="J683" s="78"/>
      <c r="K683" s="78"/>
    </row>
    <row r="684" spans="1:11">
      <c r="A684" s="77"/>
      <c r="B684" s="104"/>
      <c r="C684" s="78"/>
      <c r="D684" s="78"/>
      <c r="E684" s="78"/>
      <c r="F684" s="87"/>
      <c r="G684" s="78"/>
      <c r="J684" s="78"/>
      <c r="K684" s="78"/>
    </row>
    <row r="685" spans="1:11">
      <c r="A685" s="77"/>
      <c r="B685" s="104"/>
      <c r="C685" s="78"/>
      <c r="D685" s="78"/>
      <c r="E685" s="78"/>
      <c r="F685" s="87"/>
      <c r="G685" s="78"/>
      <c r="J685" s="78"/>
      <c r="K685" s="78"/>
    </row>
    <row r="686" spans="1:11">
      <c r="A686" s="77"/>
      <c r="B686" s="104"/>
      <c r="C686" s="78"/>
      <c r="D686" s="78"/>
      <c r="E686" s="78"/>
      <c r="F686" s="87"/>
      <c r="G686" s="78"/>
      <c r="J686" s="78"/>
      <c r="K686" s="78"/>
    </row>
    <row r="687" spans="1:11">
      <c r="A687" s="77"/>
      <c r="B687" s="104"/>
      <c r="C687" s="78"/>
      <c r="D687" s="78"/>
      <c r="E687" s="78"/>
      <c r="F687" s="87"/>
      <c r="G687" s="78"/>
      <c r="J687" s="78"/>
      <c r="K687" s="78"/>
    </row>
    <row r="688" spans="1:11">
      <c r="A688" s="77"/>
      <c r="B688" s="104"/>
      <c r="C688" s="78"/>
      <c r="D688" s="78"/>
      <c r="E688" s="78"/>
      <c r="F688" s="87"/>
      <c r="G688" s="78"/>
      <c r="J688" s="78"/>
      <c r="K688" s="78"/>
    </row>
    <row r="689" spans="1:11">
      <c r="A689" s="77"/>
      <c r="B689" s="104"/>
      <c r="C689" s="78"/>
      <c r="D689" s="78"/>
      <c r="E689" s="78"/>
      <c r="F689" s="87"/>
      <c r="G689" s="78"/>
      <c r="J689" s="78"/>
      <c r="K689" s="78"/>
    </row>
    <row r="690" spans="1:11">
      <c r="A690" s="77"/>
      <c r="B690" s="104"/>
      <c r="C690" s="78"/>
      <c r="D690" s="78"/>
      <c r="E690" s="78"/>
      <c r="F690" s="87"/>
      <c r="G690" s="78"/>
      <c r="J690" s="78"/>
      <c r="K690" s="78"/>
    </row>
    <row r="691" spans="1:11">
      <c r="A691" s="77"/>
      <c r="B691" s="104"/>
      <c r="C691" s="78"/>
      <c r="D691" s="78"/>
      <c r="E691" s="78"/>
      <c r="F691" s="87"/>
      <c r="G691" s="78"/>
      <c r="J691" s="78"/>
      <c r="K691" s="78"/>
    </row>
    <row r="692" spans="1:11">
      <c r="A692" s="77"/>
      <c r="B692" s="104"/>
      <c r="C692" s="78"/>
      <c r="D692" s="78"/>
      <c r="E692" s="78"/>
      <c r="F692" s="87"/>
      <c r="G692" s="78"/>
      <c r="J692" s="78"/>
      <c r="K692" s="78"/>
    </row>
    <row r="693" spans="1:11">
      <c r="A693" s="77"/>
      <c r="B693" s="104"/>
      <c r="C693" s="78"/>
      <c r="D693" s="78"/>
      <c r="E693" s="78"/>
      <c r="F693" s="87"/>
      <c r="G693" s="78"/>
      <c r="J693" s="78"/>
      <c r="K693" s="78"/>
    </row>
    <row r="694" spans="1:11">
      <c r="A694" s="77"/>
      <c r="B694" s="104"/>
      <c r="C694" s="78"/>
      <c r="D694" s="78"/>
      <c r="E694" s="78"/>
      <c r="F694" s="87"/>
      <c r="G694" s="78"/>
      <c r="J694" s="78"/>
      <c r="K694" s="78"/>
    </row>
    <row r="695" spans="1:11">
      <c r="A695" s="77"/>
      <c r="B695" s="104"/>
      <c r="C695" s="78"/>
      <c r="D695" s="78"/>
      <c r="E695" s="78"/>
      <c r="F695" s="87"/>
      <c r="G695" s="78"/>
      <c r="J695" s="78"/>
      <c r="K695" s="78"/>
    </row>
    <row r="696" spans="1:11">
      <c r="A696" s="77"/>
      <c r="B696" s="104"/>
      <c r="C696" s="78"/>
      <c r="D696" s="78"/>
      <c r="E696" s="78"/>
      <c r="F696" s="87"/>
      <c r="G696" s="78"/>
      <c r="J696" s="78"/>
      <c r="K696" s="78"/>
    </row>
    <row r="697" spans="1:11">
      <c r="A697" s="77"/>
      <c r="B697" s="104"/>
      <c r="C697" s="78"/>
      <c r="D697" s="78"/>
      <c r="E697" s="78"/>
      <c r="F697" s="87"/>
      <c r="G697" s="78"/>
      <c r="J697" s="78"/>
      <c r="K697" s="78"/>
    </row>
    <row r="698" spans="1:11">
      <c r="A698" s="77"/>
      <c r="B698" s="104"/>
      <c r="C698" s="78"/>
      <c r="D698" s="78"/>
      <c r="E698" s="78"/>
      <c r="F698" s="87"/>
      <c r="G698" s="78"/>
      <c r="J698" s="78"/>
      <c r="K698" s="78"/>
    </row>
    <row r="699" spans="1:11">
      <c r="A699" s="77"/>
      <c r="B699" s="104"/>
      <c r="C699" s="78"/>
      <c r="D699" s="78"/>
      <c r="E699" s="78"/>
      <c r="F699" s="87"/>
      <c r="G699" s="78"/>
      <c r="J699" s="78"/>
      <c r="K699" s="78"/>
    </row>
    <row r="700" spans="1:11">
      <c r="A700" s="77"/>
      <c r="B700" s="104"/>
      <c r="C700" s="78"/>
      <c r="D700" s="78"/>
      <c r="E700" s="78"/>
      <c r="F700" s="87"/>
      <c r="G700" s="78"/>
      <c r="J700" s="78"/>
      <c r="K700" s="78"/>
    </row>
    <row r="701" spans="1:11">
      <c r="A701" s="77"/>
      <c r="B701" s="104"/>
      <c r="C701" s="78"/>
      <c r="D701" s="78"/>
      <c r="E701" s="78"/>
      <c r="F701" s="87"/>
      <c r="G701" s="78"/>
      <c r="J701" s="78"/>
      <c r="K701" s="78"/>
    </row>
    <row r="702" spans="1:11">
      <c r="A702" s="77"/>
      <c r="B702" s="104"/>
      <c r="C702" s="78"/>
      <c r="D702" s="78"/>
      <c r="E702" s="78"/>
      <c r="F702" s="87"/>
      <c r="G702" s="78"/>
      <c r="J702" s="78"/>
      <c r="K702" s="78"/>
    </row>
    <row r="703" spans="1:11">
      <c r="A703" s="77"/>
      <c r="B703" s="104"/>
      <c r="C703" s="78"/>
      <c r="D703" s="78"/>
      <c r="E703" s="78"/>
      <c r="F703" s="87"/>
      <c r="G703" s="78"/>
      <c r="J703" s="78"/>
      <c r="K703" s="78"/>
    </row>
    <row r="704" spans="1:11">
      <c r="A704" s="77"/>
      <c r="B704" s="104"/>
      <c r="C704" s="78"/>
      <c r="D704" s="78"/>
      <c r="E704" s="78"/>
      <c r="F704" s="87"/>
      <c r="G704" s="78"/>
      <c r="J704" s="78"/>
      <c r="K704" s="78"/>
    </row>
    <row r="705" spans="1:11">
      <c r="A705" s="77"/>
      <c r="B705" s="104"/>
      <c r="C705" s="78"/>
      <c r="D705" s="78"/>
      <c r="E705" s="78"/>
      <c r="F705" s="87"/>
      <c r="G705" s="78"/>
      <c r="J705" s="78"/>
      <c r="K705" s="78"/>
    </row>
    <row r="706" spans="1:11">
      <c r="A706" s="77"/>
      <c r="B706" s="104"/>
      <c r="C706" s="78"/>
      <c r="D706" s="78"/>
      <c r="E706" s="78"/>
      <c r="F706" s="87"/>
      <c r="G706" s="78"/>
      <c r="J706" s="78"/>
      <c r="K706" s="78"/>
    </row>
    <row r="707" spans="1:11">
      <c r="A707" s="77"/>
      <c r="B707" s="104"/>
      <c r="C707" s="78"/>
      <c r="D707" s="78"/>
      <c r="E707" s="78"/>
      <c r="F707" s="87"/>
      <c r="G707" s="78"/>
      <c r="J707" s="78"/>
      <c r="K707" s="78"/>
    </row>
    <row r="708" spans="1:11">
      <c r="A708" s="77"/>
      <c r="B708" s="104"/>
      <c r="C708" s="78"/>
      <c r="D708" s="78"/>
      <c r="E708" s="78"/>
      <c r="F708" s="87"/>
      <c r="G708" s="78"/>
      <c r="J708" s="78"/>
      <c r="K708" s="78"/>
    </row>
    <row r="709" spans="1:11">
      <c r="A709" s="77"/>
      <c r="B709" s="104"/>
      <c r="C709" s="78"/>
      <c r="D709" s="78"/>
      <c r="E709" s="78"/>
      <c r="F709" s="87"/>
      <c r="G709" s="78"/>
      <c r="J709" s="78"/>
      <c r="K709" s="78"/>
    </row>
    <row r="710" spans="1:11">
      <c r="A710" s="77"/>
      <c r="B710" s="104"/>
      <c r="C710" s="78"/>
      <c r="D710" s="78"/>
      <c r="E710" s="78"/>
      <c r="F710" s="87"/>
      <c r="G710" s="78"/>
      <c r="J710" s="78"/>
      <c r="K710" s="78"/>
    </row>
    <row r="711" spans="1:11">
      <c r="A711" s="77"/>
      <c r="B711" s="104"/>
      <c r="C711" s="78"/>
      <c r="D711" s="78"/>
      <c r="E711" s="78"/>
      <c r="F711" s="87"/>
      <c r="G711" s="78"/>
      <c r="J711" s="78"/>
      <c r="K711" s="78"/>
    </row>
    <row r="712" spans="1:11">
      <c r="A712" s="77"/>
      <c r="B712" s="104"/>
      <c r="C712" s="78"/>
      <c r="D712" s="78"/>
      <c r="E712" s="78"/>
      <c r="F712" s="87"/>
      <c r="G712" s="78"/>
      <c r="J712" s="78"/>
      <c r="K712" s="78"/>
    </row>
    <row r="713" spans="1:11">
      <c r="A713" s="77"/>
      <c r="B713" s="104"/>
      <c r="C713" s="78"/>
      <c r="D713" s="78"/>
      <c r="E713" s="78"/>
      <c r="F713" s="87"/>
      <c r="G713" s="78"/>
      <c r="J713" s="78"/>
      <c r="K713" s="78"/>
    </row>
    <row r="714" spans="1:11">
      <c r="A714" s="77"/>
      <c r="B714" s="104"/>
      <c r="C714" s="78"/>
      <c r="D714" s="78"/>
      <c r="E714" s="78"/>
      <c r="F714" s="87"/>
      <c r="G714" s="78"/>
      <c r="J714" s="78"/>
      <c r="K714" s="78"/>
    </row>
    <row r="715" spans="1:11">
      <c r="A715" s="77"/>
      <c r="B715" s="104"/>
      <c r="C715" s="78"/>
      <c r="D715" s="78"/>
      <c r="E715" s="78"/>
      <c r="F715" s="87"/>
      <c r="G715" s="78"/>
      <c r="J715" s="78"/>
      <c r="K715" s="78"/>
    </row>
    <row r="716" spans="1:11">
      <c r="A716" s="77"/>
      <c r="B716" s="104"/>
      <c r="C716" s="78"/>
      <c r="D716" s="78"/>
      <c r="E716" s="78"/>
      <c r="F716" s="87"/>
      <c r="G716" s="78"/>
      <c r="J716" s="78"/>
      <c r="K716" s="78"/>
    </row>
    <row r="717" spans="1:11">
      <c r="A717" s="77"/>
      <c r="B717" s="104"/>
      <c r="C717" s="78"/>
      <c r="D717" s="78"/>
      <c r="E717" s="78"/>
      <c r="F717" s="87"/>
      <c r="G717" s="78"/>
      <c r="J717" s="78"/>
      <c r="K717" s="78"/>
    </row>
    <row r="718" spans="1:11">
      <c r="A718" s="77"/>
      <c r="B718" s="104"/>
      <c r="C718" s="78"/>
      <c r="D718" s="78"/>
      <c r="E718" s="78"/>
      <c r="F718" s="87"/>
      <c r="G718" s="78"/>
      <c r="J718" s="78"/>
      <c r="K718" s="78"/>
    </row>
    <row r="719" spans="1:11">
      <c r="A719" s="77"/>
      <c r="B719" s="104"/>
      <c r="C719" s="78"/>
      <c r="D719" s="78"/>
      <c r="E719" s="78"/>
      <c r="F719" s="87"/>
      <c r="G719" s="78"/>
      <c r="J719" s="78"/>
      <c r="K719" s="78"/>
    </row>
    <row r="720" spans="1:11">
      <c r="A720" s="77"/>
      <c r="B720" s="104"/>
      <c r="C720" s="78"/>
      <c r="D720" s="78"/>
      <c r="E720" s="78"/>
      <c r="F720" s="87"/>
      <c r="G720" s="78"/>
      <c r="J720" s="78"/>
      <c r="K720" s="78"/>
    </row>
    <row r="721" spans="1:11">
      <c r="A721" s="77"/>
      <c r="B721" s="104"/>
      <c r="C721" s="78"/>
      <c r="D721" s="78"/>
      <c r="E721" s="78"/>
      <c r="F721" s="87"/>
      <c r="G721" s="78"/>
      <c r="J721" s="78"/>
      <c r="K721" s="78"/>
    </row>
    <row r="722" spans="1:11">
      <c r="A722" s="77"/>
      <c r="B722" s="104"/>
      <c r="C722" s="78"/>
      <c r="D722" s="78"/>
      <c r="E722" s="78"/>
      <c r="F722" s="87"/>
      <c r="G722" s="78"/>
      <c r="J722" s="78"/>
      <c r="K722" s="78"/>
    </row>
    <row r="723" spans="1:11">
      <c r="A723" s="77"/>
      <c r="B723" s="104"/>
      <c r="C723" s="78"/>
      <c r="D723" s="78"/>
      <c r="E723" s="78"/>
      <c r="F723" s="87"/>
      <c r="G723" s="78"/>
      <c r="J723" s="78"/>
      <c r="K723" s="78"/>
    </row>
    <row r="724" spans="1:11">
      <c r="A724" s="77"/>
      <c r="B724" s="104"/>
      <c r="C724" s="78"/>
      <c r="D724" s="78"/>
      <c r="E724" s="78"/>
      <c r="F724" s="87"/>
      <c r="G724" s="78"/>
      <c r="J724" s="78"/>
      <c r="K724" s="78"/>
    </row>
    <row r="725" spans="1:11">
      <c r="A725" s="77"/>
      <c r="B725" s="104"/>
      <c r="C725" s="78"/>
      <c r="D725" s="78"/>
      <c r="E725" s="78"/>
      <c r="F725" s="87"/>
      <c r="G725" s="78"/>
      <c r="J725" s="78"/>
      <c r="K725" s="78"/>
    </row>
    <row r="726" spans="1:11">
      <c r="A726" s="77"/>
      <c r="B726" s="104"/>
      <c r="C726" s="78"/>
      <c r="D726" s="78"/>
      <c r="E726" s="78"/>
      <c r="F726" s="87"/>
      <c r="G726" s="78"/>
      <c r="J726" s="78"/>
      <c r="K726" s="78"/>
    </row>
    <row r="727" spans="1:11">
      <c r="A727" s="77"/>
      <c r="B727" s="104"/>
      <c r="C727" s="78"/>
      <c r="D727" s="78"/>
      <c r="E727" s="78"/>
      <c r="F727" s="87"/>
      <c r="G727" s="78"/>
      <c r="J727" s="78"/>
      <c r="K727" s="78"/>
    </row>
    <row r="728" spans="1:11">
      <c r="A728" s="77"/>
      <c r="B728" s="104"/>
      <c r="C728" s="78"/>
      <c r="D728" s="78"/>
      <c r="E728" s="78"/>
      <c r="F728" s="87"/>
      <c r="G728" s="78"/>
      <c r="J728" s="78"/>
      <c r="K728" s="78"/>
    </row>
    <row r="729" spans="1:11">
      <c r="A729" s="77"/>
      <c r="B729" s="104"/>
      <c r="C729" s="78"/>
      <c r="D729" s="78"/>
      <c r="E729" s="78"/>
      <c r="F729" s="87"/>
      <c r="G729" s="78"/>
      <c r="J729" s="78"/>
      <c r="K729" s="78"/>
    </row>
    <row r="730" spans="1:11">
      <c r="A730" s="77"/>
      <c r="B730" s="104"/>
      <c r="C730" s="78"/>
      <c r="D730" s="78"/>
      <c r="E730" s="78"/>
      <c r="F730" s="87"/>
      <c r="G730" s="78"/>
      <c r="J730" s="78"/>
      <c r="K730" s="78"/>
    </row>
    <row r="731" spans="1:11">
      <c r="A731" s="77"/>
      <c r="B731" s="104"/>
      <c r="C731" s="78"/>
      <c r="D731" s="78"/>
      <c r="E731" s="78"/>
      <c r="F731" s="87"/>
      <c r="G731" s="78"/>
      <c r="J731" s="78"/>
      <c r="K731" s="78"/>
    </row>
    <row r="732" spans="1:11">
      <c r="A732" s="77"/>
      <c r="B732" s="104"/>
      <c r="C732" s="78"/>
      <c r="D732" s="78"/>
      <c r="E732" s="78"/>
      <c r="F732" s="87"/>
      <c r="G732" s="78"/>
      <c r="J732" s="78"/>
      <c r="K732" s="78"/>
    </row>
    <row r="733" spans="1:11">
      <c r="A733" s="77"/>
      <c r="B733" s="104"/>
      <c r="C733" s="78"/>
      <c r="D733" s="78"/>
      <c r="E733" s="78"/>
      <c r="F733" s="87"/>
      <c r="G733" s="78"/>
      <c r="J733" s="78"/>
      <c r="K733" s="78"/>
    </row>
    <row r="734" spans="1:11">
      <c r="A734" s="77"/>
      <c r="B734" s="104"/>
      <c r="C734" s="78"/>
      <c r="D734" s="78"/>
      <c r="E734" s="78"/>
      <c r="F734" s="87"/>
      <c r="G734" s="78"/>
      <c r="J734" s="78"/>
      <c r="K734" s="78"/>
    </row>
    <row r="735" spans="1:11">
      <c r="A735" s="77"/>
      <c r="B735" s="104"/>
      <c r="C735" s="78"/>
      <c r="D735" s="78"/>
      <c r="E735" s="78"/>
      <c r="F735" s="87"/>
      <c r="G735" s="78"/>
      <c r="J735" s="78"/>
      <c r="K735" s="78"/>
    </row>
    <row r="736" spans="1:11">
      <c r="A736" s="77"/>
      <c r="B736" s="104"/>
      <c r="C736" s="78"/>
      <c r="D736" s="78"/>
      <c r="E736" s="78"/>
      <c r="F736" s="87"/>
      <c r="G736" s="78"/>
      <c r="J736" s="78"/>
      <c r="K736" s="78"/>
    </row>
    <row r="737" spans="1:11">
      <c r="A737" s="77"/>
      <c r="B737" s="104"/>
      <c r="C737" s="78"/>
      <c r="D737" s="78"/>
      <c r="E737" s="78"/>
      <c r="F737" s="87"/>
      <c r="G737" s="78"/>
      <c r="J737" s="78"/>
      <c r="K737" s="78"/>
    </row>
    <row r="738" spans="1:11">
      <c r="A738" s="77"/>
      <c r="B738" s="104"/>
      <c r="C738" s="78"/>
      <c r="D738" s="78"/>
      <c r="E738" s="78"/>
      <c r="F738" s="87"/>
      <c r="G738" s="78"/>
      <c r="J738" s="78"/>
      <c r="K738" s="78"/>
    </row>
    <row r="739" spans="1:11">
      <c r="A739" s="77"/>
      <c r="B739" s="104"/>
      <c r="C739" s="78"/>
      <c r="D739" s="78"/>
      <c r="E739" s="78"/>
      <c r="F739" s="87"/>
      <c r="G739" s="78"/>
      <c r="J739" s="78"/>
      <c r="K739" s="78"/>
    </row>
    <row r="740" spans="1:11">
      <c r="A740" s="77"/>
      <c r="B740" s="104"/>
      <c r="C740" s="78"/>
      <c r="D740" s="78"/>
      <c r="E740" s="78"/>
      <c r="F740" s="87"/>
      <c r="G740" s="78"/>
      <c r="J740" s="78"/>
      <c r="K740" s="78"/>
    </row>
    <row r="741" spans="1:11">
      <c r="A741" s="77"/>
      <c r="B741" s="104"/>
      <c r="C741" s="78"/>
      <c r="D741" s="78"/>
      <c r="E741" s="78"/>
      <c r="F741" s="87"/>
      <c r="G741" s="78"/>
      <c r="J741" s="78"/>
      <c r="K741" s="78"/>
    </row>
    <row r="742" spans="1:11">
      <c r="A742" s="77"/>
      <c r="B742" s="104"/>
      <c r="C742" s="78"/>
      <c r="D742" s="78"/>
      <c r="E742" s="78"/>
      <c r="F742" s="87"/>
      <c r="G742" s="78"/>
      <c r="J742" s="78"/>
      <c r="K742" s="78"/>
    </row>
    <row r="743" spans="1:11">
      <c r="A743" s="77"/>
      <c r="B743" s="104"/>
      <c r="C743" s="78"/>
      <c r="D743" s="78"/>
      <c r="E743" s="78"/>
      <c r="F743" s="87"/>
      <c r="G743" s="78"/>
      <c r="J743" s="78"/>
      <c r="K743" s="78"/>
    </row>
    <row r="744" spans="1:11">
      <c r="A744" s="77"/>
      <c r="B744" s="104"/>
      <c r="C744" s="78"/>
      <c r="D744" s="78"/>
      <c r="E744" s="78"/>
      <c r="F744" s="87"/>
      <c r="G744" s="78"/>
      <c r="J744" s="78"/>
      <c r="K744" s="78"/>
    </row>
    <row r="745" spans="1:11">
      <c r="A745" s="77"/>
      <c r="B745" s="104"/>
      <c r="C745" s="78"/>
      <c r="D745" s="78"/>
      <c r="E745" s="78"/>
      <c r="F745" s="87"/>
      <c r="G745" s="78"/>
      <c r="J745" s="78"/>
      <c r="K745" s="78"/>
    </row>
    <row r="746" spans="1:11">
      <c r="A746" s="77"/>
      <c r="B746" s="104"/>
      <c r="C746" s="78"/>
      <c r="D746" s="78"/>
      <c r="E746" s="78"/>
      <c r="F746" s="87"/>
      <c r="G746" s="78"/>
      <c r="J746" s="78"/>
      <c r="K746" s="78"/>
    </row>
    <row r="747" spans="1:11">
      <c r="A747" s="77"/>
      <c r="B747" s="104"/>
      <c r="C747" s="78"/>
      <c r="D747" s="78"/>
      <c r="E747" s="78"/>
      <c r="F747" s="87"/>
      <c r="G747" s="78"/>
      <c r="J747" s="78"/>
      <c r="K747" s="78"/>
    </row>
    <row r="748" spans="1:11">
      <c r="A748" s="77"/>
      <c r="B748" s="104"/>
      <c r="C748" s="78"/>
      <c r="D748" s="78"/>
      <c r="E748" s="78"/>
      <c r="F748" s="87"/>
      <c r="G748" s="78"/>
      <c r="J748" s="78"/>
      <c r="K748" s="78"/>
    </row>
    <row r="749" spans="1:11">
      <c r="A749" s="77"/>
      <c r="B749" s="104"/>
      <c r="C749" s="78"/>
      <c r="D749" s="78"/>
      <c r="E749" s="78"/>
      <c r="F749" s="87"/>
      <c r="G749" s="78"/>
      <c r="J749" s="78"/>
      <c r="K749" s="78"/>
    </row>
    <row r="750" spans="1:11">
      <c r="A750" s="77"/>
      <c r="B750" s="104"/>
      <c r="C750" s="78"/>
      <c r="D750" s="78"/>
      <c r="E750" s="78"/>
      <c r="F750" s="87"/>
      <c r="G750" s="78"/>
      <c r="J750" s="78"/>
      <c r="K750" s="78"/>
    </row>
    <row r="751" spans="1:11">
      <c r="A751" s="77"/>
      <c r="B751" s="104"/>
      <c r="C751" s="78"/>
      <c r="D751" s="78"/>
      <c r="E751" s="78"/>
      <c r="F751" s="87"/>
      <c r="G751" s="78"/>
      <c r="J751" s="78"/>
      <c r="K751" s="78"/>
    </row>
    <row r="752" spans="1:11">
      <c r="A752" s="77"/>
      <c r="B752" s="104"/>
      <c r="C752" s="78"/>
      <c r="D752" s="78"/>
      <c r="E752" s="78"/>
      <c r="F752" s="87"/>
      <c r="G752" s="78"/>
      <c r="J752" s="78"/>
      <c r="K752" s="78"/>
    </row>
    <row r="753" spans="1:11">
      <c r="A753" s="77"/>
      <c r="B753" s="104"/>
      <c r="C753" s="78"/>
      <c r="D753" s="78"/>
      <c r="E753" s="78"/>
      <c r="F753" s="87"/>
      <c r="G753" s="78"/>
      <c r="J753" s="78"/>
      <c r="K753" s="78"/>
    </row>
    <row r="754" spans="1:11">
      <c r="A754" s="77"/>
      <c r="B754" s="104"/>
      <c r="C754" s="78"/>
      <c r="D754" s="78"/>
      <c r="E754" s="78"/>
      <c r="F754" s="87"/>
      <c r="G754" s="78"/>
      <c r="J754" s="78"/>
      <c r="K754" s="78"/>
    </row>
    <row r="755" spans="1:11">
      <c r="A755" s="77"/>
      <c r="B755" s="104"/>
      <c r="C755" s="78"/>
      <c r="D755" s="78"/>
      <c r="E755" s="78"/>
      <c r="F755" s="87"/>
      <c r="G755" s="78"/>
      <c r="J755" s="78"/>
      <c r="K755" s="78"/>
    </row>
    <row r="756" spans="1:11">
      <c r="A756" s="77"/>
      <c r="B756" s="104"/>
      <c r="C756" s="78"/>
      <c r="D756" s="78"/>
      <c r="E756" s="78"/>
      <c r="F756" s="87"/>
      <c r="G756" s="78"/>
      <c r="J756" s="78"/>
      <c r="K756" s="78"/>
    </row>
    <row r="757" spans="1:11">
      <c r="A757" s="77"/>
      <c r="B757" s="104"/>
      <c r="C757" s="78"/>
      <c r="D757" s="78"/>
      <c r="E757" s="78"/>
      <c r="F757" s="87"/>
      <c r="G757" s="78"/>
      <c r="J757" s="78"/>
      <c r="K757" s="78"/>
    </row>
    <row r="758" spans="1:11">
      <c r="A758" s="77"/>
      <c r="B758" s="104"/>
      <c r="C758" s="78"/>
      <c r="D758" s="78"/>
      <c r="E758" s="78"/>
      <c r="F758" s="87"/>
      <c r="G758" s="78"/>
      <c r="J758" s="78"/>
      <c r="K758" s="78"/>
    </row>
    <row r="759" spans="1:11">
      <c r="A759" s="77"/>
      <c r="B759" s="104"/>
      <c r="C759" s="78"/>
      <c r="D759" s="78"/>
      <c r="E759" s="78"/>
      <c r="F759" s="87"/>
      <c r="G759" s="78"/>
      <c r="J759" s="78"/>
      <c r="K759" s="78"/>
    </row>
    <row r="760" spans="1:11">
      <c r="A760" s="77"/>
      <c r="B760" s="104"/>
      <c r="C760" s="78"/>
      <c r="D760" s="78"/>
      <c r="E760" s="78"/>
      <c r="F760" s="87"/>
      <c r="G760" s="78"/>
      <c r="J760" s="78"/>
      <c r="K760" s="78"/>
    </row>
    <row r="761" spans="1:11">
      <c r="A761" s="77"/>
      <c r="B761" s="104"/>
      <c r="C761" s="78"/>
      <c r="D761" s="78"/>
      <c r="E761" s="78"/>
      <c r="F761" s="87"/>
      <c r="G761" s="78"/>
      <c r="J761" s="78"/>
      <c r="K761" s="78"/>
    </row>
    <row r="762" spans="1:11">
      <c r="A762" s="77"/>
      <c r="B762" s="104"/>
      <c r="C762" s="78"/>
      <c r="D762" s="78"/>
      <c r="E762" s="78"/>
      <c r="F762" s="87"/>
      <c r="G762" s="78"/>
      <c r="J762" s="78"/>
      <c r="K762" s="78"/>
    </row>
    <row r="763" spans="1:11">
      <c r="A763" s="77"/>
      <c r="B763" s="104"/>
      <c r="C763" s="78"/>
      <c r="D763" s="78"/>
      <c r="E763" s="78"/>
      <c r="F763" s="87"/>
      <c r="G763" s="78"/>
      <c r="J763" s="78"/>
      <c r="K763" s="78"/>
    </row>
    <row r="764" spans="1:11">
      <c r="A764" s="77"/>
      <c r="B764" s="104"/>
      <c r="C764" s="78"/>
      <c r="D764" s="78"/>
      <c r="E764" s="78"/>
      <c r="F764" s="87"/>
      <c r="G764" s="78"/>
      <c r="J764" s="78"/>
      <c r="K764" s="78"/>
    </row>
    <row r="765" spans="1:11">
      <c r="A765" s="77"/>
      <c r="B765" s="104"/>
      <c r="C765" s="78"/>
      <c r="D765" s="78"/>
      <c r="E765" s="78"/>
      <c r="F765" s="87"/>
      <c r="G765" s="78"/>
      <c r="J765" s="78"/>
      <c r="K765" s="78"/>
    </row>
    <row r="766" spans="1:11">
      <c r="A766" s="77"/>
      <c r="B766" s="104"/>
      <c r="C766" s="78"/>
      <c r="D766" s="78"/>
      <c r="E766" s="78"/>
      <c r="F766" s="87"/>
      <c r="G766" s="78"/>
      <c r="J766" s="78"/>
      <c r="K766" s="78"/>
    </row>
    <row r="767" spans="1:11">
      <c r="A767" s="77"/>
      <c r="B767" s="104"/>
      <c r="C767" s="78"/>
      <c r="D767" s="78"/>
      <c r="E767" s="78"/>
      <c r="F767" s="87"/>
      <c r="G767" s="78"/>
      <c r="J767" s="78"/>
      <c r="K767" s="78"/>
    </row>
    <row r="768" spans="1:11">
      <c r="A768" s="77"/>
      <c r="B768" s="104"/>
      <c r="C768" s="78"/>
      <c r="D768" s="78"/>
      <c r="E768" s="78"/>
      <c r="F768" s="87"/>
      <c r="G768" s="78"/>
      <c r="J768" s="78"/>
      <c r="K768" s="78"/>
    </row>
    <row r="769" spans="1:11">
      <c r="A769" s="77"/>
      <c r="B769" s="104"/>
      <c r="C769" s="78"/>
      <c r="D769" s="78"/>
      <c r="E769" s="78"/>
      <c r="F769" s="87"/>
      <c r="G769" s="78"/>
      <c r="J769" s="78"/>
      <c r="K769" s="78"/>
    </row>
    <row r="770" spans="1:11">
      <c r="A770" s="77"/>
      <c r="B770" s="104"/>
      <c r="C770" s="78"/>
      <c r="D770" s="78"/>
      <c r="E770" s="78"/>
      <c r="F770" s="87"/>
      <c r="G770" s="78"/>
      <c r="J770" s="78"/>
      <c r="K770" s="78"/>
    </row>
    <row r="771" spans="1:11">
      <c r="A771" s="77"/>
      <c r="B771" s="104"/>
      <c r="C771" s="78"/>
      <c r="D771" s="78"/>
      <c r="E771" s="78"/>
      <c r="F771" s="87"/>
      <c r="G771" s="78"/>
      <c r="J771" s="78"/>
      <c r="K771" s="78"/>
    </row>
    <row r="772" spans="1:11">
      <c r="A772" s="77"/>
      <c r="B772" s="104"/>
      <c r="C772" s="78"/>
      <c r="D772" s="78"/>
      <c r="E772" s="78"/>
      <c r="F772" s="87"/>
      <c r="G772" s="78"/>
      <c r="J772" s="78"/>
      <c r="K772" s="78"/>
    </row>
    <row r="773" spans="1:11">
      <c r="A773" s="77"/>
      <c r="B773" s="104"/>
      <c r="C773" s="78"/>
      <c r="D773" s="78"/>
      <c r="E773" s="78"/>
      <c r="F773" s="87"/>
      <c r="G773" s="78"/>
      <c r="J773" s="78"/>
      <c r="K773" s="78"/>
    </row>
    <row r="774" spans="1:11">
      <c r="A774" s="77"/>
      <c r="B774" s="104"/>
      <c r="C774" s="78"/>
      <c r="D774" s="78"/>
      <c r="E774" s="78"/>
      <c r="F774" s="87"/>
      <c r="G774" s="78"/>
      <c r="J774" s="78"/>
      <c r="K774" s="78"/>
    </row>
    <row r="775" spans="1:11">
      <c r="A775" s="77"/>
      <c r="B775" s="104"/>
      <c r="C775" s="78"/>
      <c r="D775" s="78"/>
      <c r="E775" s="78"/>
      <c r="F775" s="87"/>
      <c r="G775" s="78"/>
      <c r="J775" s="78"/>
      <c r="K775" s="78"/>
    </row>
    <row r="776" spans="1:11">
      <c r="A776" s="77"/>
      <c r="B776" s="104"/>
      <c r="C776" s="78"/>
      <c r="D776" s="78"/>
      <c r="E776" s="78"/>
      <c r="F776" s="87"/>
      <c r="G776" s="78"/>
      <c r="J776" s="78"/>
      <c r="K776" s="78"/>
    </row>
    <row r="777" spans="1:11">
      <c r="A777" s="77"/>
      <c r="B777" s="104"/>
      <c r="C777" s="78"/>
      <c r="D777" s="78"/>
      <c r="E777" s="78"/>
      <c r="F777" s="87"/>
      <c r="G777" s="78"/>
      <c r="J777" s="78"/>
      <c r="K777" s="78"/>
    </row>
    <row r="778" spans="1:11">
      <c r="A778" s="77"/>
      <c r="B778" s="104"/>
      <c r="C778" s="78"/>
      <c r="D778" s="78"/>
      <c r="E778" s="78"/>
      <c r="F778" s="87"/>
      <c r="G778" s="78"/>
      <c r="J778" s="78"/>
      <c r="K778" s="78"/>
    </row>
    <row r="779" spans="1:11">
      <c r="A779" s="77"/>
      <c r="B779" s="104"/>
      <c r="C779" s="78"/>
      <c r="D779" s="78"/>
      <c r="E779" s="78"/>
      <c r="F779" s="87"/>
      <c r="G779" s="78"/>
      <c r="J779" s="78"/>
      <c r="K779" s="78"/>
    </row>
    <row r="780" spans="1:11">
      <c r="A780" s="77"/>
      <c r="B780" s="104"/>
      <c r="C780" s="78"/>
      <c r="D780" s="78"/>
      <c r="E780" s="78"/>
      <c r="F780" s="87"/>
      <c r="G780" s="78"/>
      <c r="J780" s="78"/>
      <c r="K780" s="78"/>
    </row>
    <row r="781" spans="1:11">
      <c r="A781" s="77"/>
      <c r="B781" s="104"/>
      <c r="C781" s="78"/>
      <c r="D781" s="78"/>
      <c r="E781" s="78"/>
      <c r="F781" s="87"/>
      <c r="G781" s="78"/>
      <c r="J781" s="78"/>
      <c r="K781" s="78"/>
    </row>
    <row r="782" spans="1:11">
      <c r="A782" s="77"/>
      <c r="B782" s="104"/>
      <c r="C782" s="78"/>
      <c r="D782" s="78"/>
      <c r="E782" s="78"/>
      <c r="F782" s="87"/>
      <c r="G782" s="78"/>
      <c r="J782" s="78"/>
      <c r="K782" s="78"/>
    </row>
    <row r="783" spans="1:11">
      <c r="A783" s="77"/>
      <c r="B783" s="104"/>
      <c r="C783" s="78"/>
      <c r="D783" s="78"/>
      <c r="E783" s="78"/>
      <c r="F783" s="87"/>
      <c r="G783" s="78"/>
      <c r="J783" s="78"/>
      <c r="K783" s="78"/>
    </row>
    <row r="784" spans="1:11">
      <c r="A784" s="77"/>
      <c r="B784" s="104"/>
      <c r="C784" s="78"/>
      <c r="D784" s="78"/>
      <c r="E784" s="78"/>
      <c r="F784" s="87"/>
      <c r="G784" s="78"/>
      <c r="J784" s="78"/>
      <c r="K784" s="78"/>
    </row>
    <row r="785" spans="1:11">
      <c r="A785" s="77"/>
      <c r="B785" s="104"/>
      <c r="C785" s="78"/>
      <c r="D785" s="78"/>
      <c r="E785" s="78"/>
      <c r="F785" s="87"/>
      <c r="G785" s="78"/>
      <c r="J785" s="78"/>
      <c r="K785" s="78"/>
    </row>
    <row r="786" spans="1:11">
      <c r="A786" s="77"/>
      <c r="B786" s="104"/>
      <c r="C786" s="78"/>
      <c r="D786" s="78"/>
      <c r="E786" s="78"/>
      <c r="F786" s="87"/>
      <c r="G786" s="78"/>
      <c r="J786" s="78"/>
      <c r="K786" s="78"/>
    </row>
    <row r="787" spans="1:11">
      <c r="A787" s="77"/>
      <c r="B787" s="104"/>
      <c r="C787" s="78"/>
      <c r="D787" s="78"/>
      <c r="E787" s="78"/>
      <c r="F787" s="87"/>
      <c r="G787" s="78"/>
      <c r="J787" s="78"/>
      <c r="K787" s="78"/>
    </row>
    <row r="788" spans="1:11">
      <c r="A788" s="77"/>
      <c r="B788" s="104"/>
      <c r="C788" s="78"/>
      <c r="D788" s="78"/>
      <c r="E788" s="78"/>
      <c r="F788" s="87"/>
      <c r="G788" s="78"/>
      <c r="J788" s="78"/>
      <c r="K788" s="78"/>
    </row>
    <row r="789" spans="1:11">
      <c r="A789" s="77"/>
      <c r="B789" s="104"/>
      <c r="C789" s="78"/>
      <c r="D789" s="78"/>
      <c r="E789" s="78"/>
      <c r="F789" s="87"/>
      <c r="G789" s="78"/>
      <c r="J789" s="78"/>
      <c r="K789" s="78"/>
    </row>
    <row r="790" spans="1:11">
      <c r="A790" s="77"/>
      <c r="B790" s="104"/>
      <c r="C790" s="78"/>
      <c r="D790" s="78"/>
      <c r="E790" s="78"/>
      <c r="F790" s="87"/>
      <c r="G790" s="78"/>
      <c r="J790" s="78"/>
      <c r="K790" s="78"/>
    </row>
    <row r="791" spans="1:11">
      <c r="A791" s="77"/>
      <c r="B791" s="104"/>
      <c r="C791" s="78"/>
      <c r="D791" s="78"/>
      <c r="E791" s="78"/>
      <c r="F791" s="87"/>
      <c r="G791" s="78"/>
      <c r="J791" s="78"/>
      <c r="K791" s="78"/>
    </row>
    <row r="792" spans="1:11">
      <c r="A792" s="77"/>
      <c r="B792" s="104"/>
      <c r="C792" s="78"/>
      <c r="D792" s="78"/>
      <c r="E792" s="78"/>
      <c r="F792" s="87"/>
      <c r="G792" s="78"/>
      <c r="J792" s="78"/>
      <c r="K792" s="78"/>
    </row>
    <row r="793" spans="1:11">
      <c r="A793" s="77"/>
      <c r="B793" s="104"/>
      <c r="C793" s="78"/>
      <c r="D793" s="78"/>
      <c r="E793" s="78"/>
      <c r="F793" s="87"/>
      <c r="G793" s="78"/>
      <c r="J793" s="78"/>
      <c r="K793" s="78"/>
    </row>
    <row r="794" spans="1:11">
      <c r="A794" s="77"/>
      <c r="B794" s="104"/>
      <c r="C794" s="78"/>
      <c r="D794" s="78"/>
      <c r="E794" s="78"/>
      <c r="F794" s="87"/>
      <c r="G794" s="78"/>
      <c r="J794" s="78"/>
      <c r="K794" s="78"/>
    </row>
    <row r="795" spans="1:11">
      <c r="A795" s="77"/>
      <c r="B795" s="104"/>
      <c r="C795" s="78"/>
      <c r="D795" s="78"/>
      <c r="E795" s="78"/>
      <c r="F795" s="87"/>
      <c r="G795" s="78"/>
      <c r="J795" s="78"/>
      <c r="K795" s="78"/>
    </row>
    <row r="796" spans="1:11">
      <c r="A796" s="77"/>
      <c r="B796" s="104"/>
      <c r="C796" s="78"/>
      <c r="D796" s="78"/>
      <c r="E796" s="78"/>
      <c r="F796" s="87"/>
      <c r="G796" s="78"/>
      <c r="J796" s="78"/>
      <c r="K796" s="78"/>
    </row>
    <row r="797" spans="1:11">
      <c r="A797" s="77"/>
      <c r="B797" s="104"/>
      <c r="C797" s="78"/>
      <c r="D797" s="78"/>
      <c r="E797" s="78"/>
      <c r="F797" s="87"/>
      <c r="G797" s="78"/>
      <c r="J797" s="78"/>
      <c r="K797" s="78"/>
    </row>
    <row r="798" spans="1:11">
      <c r="A798" s="77"/>
      <c r="B798" s="104"/>
      <c r="C798" s="78"/>
      <c r="D798" s="78"/>
      <c r="E798" s="78"/>
      <c r="F798" s="87"/>
      <c r="G798" s="78"/>
      <c r="J798" s="78"/>
      <c r="K798" s="78"/>
    </row>
    <row r="799" spans="1:11">
      <c r="A799" s="77"/>
      <c r="B799" s="104"/>
      <c r="C799" s="78"/>
      <c r="D799" s="78"/>
      <c r="E799" s="78"/>
      <c r="F799" s="87"/>
      <c r="G799" s="78"/>
      <c r="J799" s="78"/>
      <c r="K799" s="78"/>
    </row>
    <row r="800" spans="1:11">
      <c r="A800" s="77"/>
      <c r="B800" s="104"/>
      <c r="C800" s="78"/>
      <c r="D800" s="78"/>
      <c r="E800" s="78"/>
      <c r="F800" s="87"/>
      <c r="G800" s="78"/>
      <c r="J800" s="78"/>
      <c r="K800" s="78"/>
    </row>
    <row r="801" spans="1:11">
      <c r="A801" s="77"/>
      <c r="B801" s="104"/>
      <c r="C801" s="78"/>
      <c r="D801" s="78"/>
      <c r="E801" s="78"/>
      <c r="F801" s="87"/>
      <c r="G801" s="78"/>
      <c r="J801" s="78"/>
      <c r="K801" s="78"/>
    </row>
    <row r="802" spans="1:11">
      <c r="A802" s="77"/>
      <c r="B802" s="104"/>
      <c r="C802" s="78"/>
      <c r="D802" s="78"/>
      <c r="E802" s="78"/>
      <c r="F802" s="87"/>
      <c r="G802" s="78"/>
      <c r="J802" s="78"/>
      <c r="K802" s="78"/>
    </row>
    <row r="803" spans="1:11">
      <c r="A803" s="77"/>
      <c r="B803" s="104"/>
      <c r="C803" s="78"/>
      <c r="D803" s="78"/>
      <c r="E803" s="78"/>
      <c r="F803" s="87"/>
      <c r="G803" s="78"/>
      <c r="J803" s="78"/>
      <c r="K803" s="78"/>
    </row>
    <row r="804" spans="1:11">
      <c r="A804" s="77"/>
      <c r="B804" s="104"/>
      <c r="C804" s="78"/>
      <c r="D804" s="78"/>
      <c r="E804" s="78"/>
      <c r="F804" s="87"/>
      <c r="G804" s="78"/>
      <c r="J804" s="78"/>
      <c r="K804" s="78"/>
    </row>
    <row r="805" spans="1:11">
      <c r="A805" s="77"/>
      <c r="B805" s="104"/>
      <c r="C805" s="78"/>
      <c r="D805" s="78"/>
      <c r="E805" s="78"/>
      <c r="F805" s="87"/>
      <c r="G805" s="78"/>
      <c r="J805" s="78"/>
      <c r="K805" s="78"/>
    </row>
    <row r="806" spans="1:11">
      <c r="A806" s="77"/>
      <c r="B806" s="104"/>
      <c r="C806" s="78"/>
      <c r="D806" s="78"/>
      <c r="E806" s="78"/>
      <c r="F806" s="87"/>
      <c r="G806" s="78"/>
      <c r="J806" s="78"/>
      <c r="K806" s="78"/>
    </row>
    <row r="807" spans="1:11">
      <c r="A807" s="77"/>
      <c r="B807" s="104"/>
      <c r="C807" s="78"/>
      <c r="D807" s="78"/>
      <c r="E807" s="78"/>
      <c r="F807" s="87"/>
      <c r="G807" s="78"/>
      <c r="J807" s="78"/>
      <c r="K807" s="78"/>
    </row>
  </sheetData>
  <autoFilter ref="A2:M110" xr:uid="{00000000-0009-0000-0000-00001E000000}"/>
  <mergeCells count="19">
    <mergeCell ref="A267:A271"/>
    <mergeCell ref="O2:P2"/>
    <mergeCell ref="A3:A97"/>
    <mergeCell ref="A101:A104"/>
    <mergeCell ref="A106:A110"/>
    <mergeCell ref="A112:A153"/>
    <mergeCell ref="A154:A161"/>
    <mergeCell ref="A163:A169"/>
    <mergeCell ref="A171:A205"/>
    <mergeCell ref="A207:A214"/>
    <mergeCell ref="A218:A256"/>
    <mergeCell ref="A258:A265"/>
    <mergeCell ref="A314:A317"/>
    <mergeCell ref="A273:A284"/>
    <mergeCell ref="A286:A288"/>
    <mergeCell ref="A290:A299"/>
    <mergeCell ref="A301:A304"/>
    <mergeCell ref="A306:A309"/>
    <mergeCell ref="A311:A312"/>
  </mergeCells>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C8"/>
  <sheetViews>
    <sheetView workbookViewId="0">
      <selection activeCell="F18" sqref="F18"/>
    </sheetView>
  </sheetViews>
  <sheetFormatPr baseColWidth="10" defaultColWidth="9.1796875" defaultRowHeight="14.5"/>
  <cols>
    <col min="2" max="2" width="14.1796875" bestFit="1" customWidth="1"/>
    <col min="3" max="3" width="15.7265625" bestFit="1" customWidth="1"/>
  </cols>
  <sheetData>
    <row r="2" spans="2:3">
      <c r="B2" t="s">
        <v>434</v>
      </c>
      <c r="C2" t="s">
        <v>432</v>
      </c>
    </row>
    <row r="3" spans="2:3">
      <c r="B3" s="130">
        <v>10</v>
      </c>
      <c r="C3" s="130">
        <v>10</v>
      </c>
    </row>
    <row r="4" spans="2:3">
      <c r="B4" s="130">
        <v>15</v>
      </c>
      <c r="C4" s="130">
        <v>11</v>
      </c>
    </row>
    <row r="5" spans="2:3">
      <c r="B5" s="130">
        <v>20</v>
      </c>
      <c r="C5" s="130">
        <v>12</v>
      </c>
    </row>
    <row r="6" spans="2:3">
      <c r="B6" s="130">
        <v>25</v>
      </c>
      <c r="C6" s="130">
        <v>13</v>
      </c>
    </row>
    <row r="7" spans="2:3">
      <c r="B7" s="130">
        <v>30</v>
      </c>
      <c r="C7" s="130">
        <v>14</v>
      </c>
    </row>
    <row r="8" spans="2:3">
      <c r="B8" s="130"/>
      <c r="C8" s="130">
        <v>15</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sheetPr>
  <dimension ref="A1:H12"/>
  <sheetViews>
    <sheetView workbookViewId="0">
      <selection activeCell="F4" sqref="F4"/>
    </sheetView>
  </sheetViews>
  <sheetFormatPr baseColWidth="10" defaultColWidth="11.453125" defaultRowHeight="10.5"/>
  <cols>
    <col min="1" max="1" width="28.26953125" style="36" bestFit="1" customWidth="1"/>
    <col min="2" max="2" width="53.7265625" style="36" customWidth="1"/>
    <col min="3" max="3" width="22.26953125" style="36" bestFit="1" customWidth="1"/>
    <col min="4" max="4" width="23.26953125" style="36" customWidth="1"/>
    <col min="5" max="5" width="24.81640625" style="36" bestFit="1" customWidth="1"/>
    <col min="6" max="6" width="30.7265625" style="36" customWidth="1"/>
    <col min="7" max="20" width="20.7265625" style="36" customWidth="1"/>
    <col min="21" max="16384" width="11.453125" style="36"/>
  </cols>
  <sheetData>
    <row r="1" spans="1:8" ht="12">
      <c r="A1" s="34" t="s">
        <v>215</v>
      </c>
      <c r="B1" s="35" t="s">
        <v>216</v>
      </c>
      <c r="C1" s="84" t="s">
        <v>275</v>
      </c>
      <c r="D1" s="84" t="s">
        <v>277</v>
      </c>
      <c r="E1" s="84" t="s">
        <v>280</v>
      </c>
      <c r="F1" s="35"/>
    </row>
    <row r="2" spans="1:8" ht="31.5">
      <c r="A2" s="37" t="s">
        <v>713</v>
      </c>
      <c r="B2" s="38" t="s">
        <v>934</v>
      </c>
      <c r="C2" s="40" t="s">
        <v>368</v>
      </c>
      <c r="D2" s="40" t="s">
        <v>367</v>
      </c>
      <c r="E2" s="85"/>
      <c r="F2" s="39" t="s">
        <v>936</v>
      </c>
      <c r="G2" s="33"/>
      <c r="H2" s="33"/>
    </row>
    <row r="3" spans="1:8" ht="31.5">
      <c r="A3" s="37" t="s">
        <v>714</v>
      </c>
      <c r="B3" s="40" t="s">
        <v>935</v>
      </c>
      <c r="C3" s="40" t="s">
        <v>367</v>
      </c>
      <c r="D3" s="40" t="s">
        <v>367</v>
      </c>
      <c r="E3" s="86"/>
      <c r="F3" s="39" t="s">
        <v>937</v>
      </c>
      <c r="G3" s="41"/>
      <c r="H3" s="41"/>
    </row>
    <row r="4" spans="1:8" ht="31.5">
      <c r="A4" s="37" t="s">
        <v>715</v>
      </c>
      <c r="B4" s="38" t="s">
        <v>730</v>
      </c>
      <c r="C4" s="40" t="s">
        <v>368</v>
      </c>
      <c r="D4" s="40" t="s">
        <v>368</v>
      </c>
      <c r="E4" s="85"/>
      <c r="F4" s="42" t="s">
        <v>217</v>
      </c>
      <c r="G4" s="41"/>
      <c r="H4" s="41"/>
    </row>
    <row r="5" spans="1:8" ht="31.5">
      <c r="A5" s="37" t="s">
        <v>716</v>
      </c>
      <c r="B5" s="40" t="s">
        <v>729</v>
      </c>
      <c r="C5" s="40" t="s">
        <v>367</v>
      </c>
      <c r="D5" s="40"/>
      <c r="E5" s="86"/>
      <c r="F5" s="42" t="s">
        <v>218</v>
      </c>
      <c r="G5" s="41"/>
      <c r="H5" s="41"/>
    </row>
    <row r="6" spans="1:8" ht="31.5">
      <c r="A6" s="37" t="s">
        <v>717</v>
      </c>
      <c r="B6" s="40" t="s">
        <v>728</v>
      </c>
      <c r="C6" s="40" t="s">
        <v>367</v>
      </c>
      <c r="D6" s="40"/>
      <c r="E6" s="86"/>
      <c r="F6" s="42" t="s">
        <v>218</v>
      </c>
      <c r="G6" s="41"/>
      <c r="H6" s="41"/>
    </row>
    <row r="7" spans="1:8" ht="31.5">
      <c r="A7" s="37" t="s">
        <v>718</v>
      </c>
      <c r="B7" s="38" t="s">
        <v>430</v>
      </c>
      <c r="C7" s="40" t="s">
        <v>367</v>
      </c>
      <c r="D7" s="40" t="s">
        <v>367</v>
      </c>
      <c r="E7" s="85"/>
      <c r="F7" s="42" t="s">
        <v>219</v>
      </c>
      <c r="G7" s="41"/>
      <c r="H7" s="41"/>
    </row>
    <row r="8" spans="1:8" ht="31.5">
      <c r="A8" s="43" t="s">
        <v>719</v>
      </c>
      <c r="B8" s="44" t="s">
        <v>727</v>
      </c>
      <c r="C8" s="40" t="s">
        <v>367</v>
      </c>
      <c r="D8" s="40" t="s">
        <v>367</v>
      </c>
      <c r="E8" s="40" t="s">
        <v>367</v>
      </c>
      <c r="F8" s="45" t="s">
        <v>220</v>
      </c>
      <c r="G8" s="41"/>
      <c r="H8" s="41"/>
    </row>
    <row r="9" spans="1:8" ht="52.5">
      <c r="A9" s="43" t="s">
        <v>720</v>
      </c>
      <c r="B9" s="44" t="s">
        <v>851</v>
      </c>
      <c r="C9" s="40"/>
      <c r="D9" s="40" t="s">
        <v>490</v>
      </c>
      <c r="E9" s="40"/>
      <c r="F9" s="45" t="s">
        <v>491</v>
      </c>
      <c r="G9" s="41"/>
      <c r="H9" s="41"/>
    </row>
    <row r="10" spans="1:8" ht="21">
      <c r="A10" s="37" t="s">
        <v>721</v>
      </c>
      <c r="B10" s="38" t="s">
        <v>725</v>
      </c>
      <c r="C10" s="38"/>
      <c r="D10" s="38"/>
      <c r="E10" s="38"/>
      <c r="F10" s="42" t="s">
        <v>302</v>
      </c>
    </row>
    <row r="11" spans="1:8" ht="31.5">
      <c r="A11" s="37" t="s">
        <v>722</v>
      </c>
      <c r="B11" s="38" t="s">
        <v>724</v>
      </c>
      <c r="C11" s="38"/>
      <c r="D11" s="38"/>
      <c r="E11" s="38"/>
      <c r="F11" s="42" t="s">
        <v>220</v>
      </c>
    </row>
    <row r="12" spans="1:8" ht="31.5">
      <c r="A12" s="37" t="s">
        <v>723</v>
      </c>
      <c r="B12" s="38" t="s">
        <v>726</v>
      </c>
      <c r="C12" s="38"/>
      <c r="D12" s="38"/>
      <c r="E12" s="38"/>
      <c r="F12" s="42"/>
    </row>
  </sheetData>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sheetPr>
  <dimension ref="A1:G11"/>
  <sheetViews>
    <sheetView workbookViewId="0">
      <selection activeCell="D7" sqref="D7"/>
    </sheetView>
  </sheetViews>
  <sheetFormatPr baseColWidth="10" defaultColWidth="11.453125" defaultRowHeight="10.5"/>
  <cols>
    <col min="1" max="1" width="32.26953125" style="36" customWidth="1"/>
    <col min="2" max="2" width="7.54296875" style="36" customWidth="1"/>
    <col min="3" max="3" width="83.54296875" style="36" customWidth="1"/>
    <col min="4" max="4" width="80" style="36" customWidth="1"/>
    <col min="5" max="5" width="30.7265625" style="36" customWidth="1"/>
    <col min="6" max="19" width="20.7265625" style="36" customWidth="1"/>
    <col min="20" max="16384" width="11.453125" style="36"/>
  </cols>
  <sheetData>
    <row r="1" spans="1:7" ht="12">
      <c r="A1" s="34" t="s">
        <v>223</v>
      </c>
      <c r="B1" s="35"/>
      <c r="C1" s="35" t="s">
        <v>215</v>
      </c>
      <c r="D1" s="35" t="s">
        <v>341</v>
      </c>
      <c r="E1" s="35"/>
      <c r="F1" s="41"/>
      <c r="G1" s="41"/>
    </row>
    <row r="2" spans="1:7" ht="65.150000000000006" customHeight="1">
      <c r="A2" s="37" t="s">
        <v>731</v>
      </c>
      <c r="B2" s="37" t="s">
        <v>224</v>
      </c>
      <c r="C2" s="48" t="s">
        <v>750</v>
      </c>
      <c r="D2" s="48" t="s">
        <v>754</v>
      </c>
      <c r="E2" s="42">
        <v>3.6999999999999998E-2</v>
      </c>
      <c r="F2" s="41"/>
      <c r="G2" s="41"/>
    </row>
    <row r="3" spans="1:7" ht="65.150000000000006" customHeight="1">
      <c r="A3" s="37" t="s">
        <v>732</v>
      </c>
      <c r="B3" s="37" t="s">
        <v>225</v>
      </c>
      <c r="C3" s="48" t="s">
        <v>749</v>
      </c>
      <c r="D3" s="48" t="s">
        <v>753</v>
      </c>
      <c r="E3" s="42">
        <v>3.2000000000000001E-2</v>
      </c>
      <c r="F3" s="41"/>
      <c r="G3" s="41"/>
    </row>
    <row r="4" spans="1:7" ht="42">
      <c r="A4" s="37" t="s">
        <v>733</v>
      </c>
      <c r="B4" s="37" t="s">
        <v>226</v>
      </c>
      <c r="C4" s="40" t="s">
        <v>748</v>
      </c>
      <c r="D4" s="40" t="s">
        <v>752</v>
      </c>
      <c r="E4" s="42">
        <v>3.4000000000000002E-2</v>
      </c>
      <c r="F4" s="41"/>
      <c r="G4" s="41"/>
    </row>
    <row r="5" spans="1:7" ht="42">
      <c r="A5" s="37" t="s">
        <v>734</v>
      </c>
      <c r="B5" s="37" t="s">
        <v>227</v>
      </c>
      <c r="C5" s="40" t="s">
        <v>747</v>
      </c>
      <c r="D5" s="40" t="s">
        <v>751</v>
      </c>
      <c r="E5" s="42">
        <v>2.1000000000000001E-2</v>
      </c>
    </row>
    <row r="6" spans="1:7" ht="65.150000000000006" customHeight="1">
      <c r="A6" s="37" t="s">
        <v>735</v>
      </c>
      <c r="B6" s="37" t="s">
        <v>228</v>
      </c>
      <c r="C6" s="48" t="s">
        <v>746</v>
      </c>
      <c r="D6" s="48"/>
      <c r="E6" s="42">
        <v>3.4000000000000002E-2</v>
      </c>
      <c r="F6" s="41"/>
      <c r="G6" s="41"/>
    </row>
    <row r="7" spans="1:7" ht="65.150000000000006" customHeight="1">
      <c r="A7" s="37" t="s">
        <v>736</v>
      </c>
      <c r="B7" s="37" t="s">
        <v>228</v>
      </c>
      <c r="C7" s="48" t="s">
        <v>745</v>
      </c>
      <c r="D7" s="48"/>
      <c r="E7" s="42">
        <v>3.5000000000000003E-2</v>
      </c>
      <c r="F7" s="41"/>
      <c r="G7" s="41"/>
    </row>
    <row r="8" spans="1:7" ht="52.5">
      <c r="A8" s="133" t="s">
        <v>737</v>
      </c>
      <c r="B8" s="133" t="s">
        <v>230</v>
      </c>
      <c r="C8" s="134" t="s">
        <v>743</v>
      </c>
      <c r="D8" s="134"/>
      <c r="E8" s="135">
        <v>3.5999999999999997E-2</v>
      </c>
      <c r="F8" s="41"/>
      <c r="G8" s="41"/>
    </row>
    <row r="9" spans="1:7" ht="42">
      <c r="A9" s="133" t="s">
        <v>738</v>
      </c>
      <c r="B9" s="133" t="s">
        <v>230</v>
      </c>
      <c r="C9" s="134" t="s">
        <v>744</v>
      </c>
      <c r="D9" s="134"/>
      <c r="E9" s="135">
        <v>3.5999999999999997E-2</v>
      </c>
      <c r="F9" s="41"/>
      <c r="G9" s="41"/>
    </row>
    <row r="10" spans="1:7" ht="94.5" customHeight="1">
      <c r="A10" s="43" t="s">
        <v>739</v>
      </c>
      <c r="B10" s="49" t="s">
        <v>232</v>
      </c>
      <c r="C10" s="50" t="s">
        <v>742</v>
      </c>
      <c r="D10" s="50"/>
      <c r="E10" s="45">
        <v>4.2000000000000003E-2</v>
      </c>
      <c r="F10" s="41"/>
      <c r="G10" s="41"/>
    </row>
    <row r="11" spans="1:7" ht="52.5">
      <c r="A11" s="37" t="s">
        <v>740</v>
      </c>
      <c r="B11" s="37" t="s">
        <v>233</v>
      </c>
      <c r="C11" s="40" t="s">
        <v>741</v>
      </c>
      <c r="D11" s="40"/>
      <c r="E11" s="51">
        <v>0.04</v>
      </c>
      <c r="F11" s="41"/>
      <c r="G11" s="41"/>
    </row>
  </sheetData>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sheetPr>
  <dimension ref="A1:B6"/>
  <sheetViews>
    <sheetView workbookViewId="0">
      <selection activeCell="B5" sqref="B5"/>
    </sheetView>
  </sheetViews>
  <sheetFormatPr baseColWidth="10" defaultColWidth="11.453125" defaultRowHeight="10.5"/>
  <cols>
    <col min="1" max="1" width="28.26953125" style="36" bestFit="1" customWidth="1"/>
    <col min="2" max="2" width="93" style="36" customWidth="1"/>
    <col min="3" max="14" width="20.7265625" style="36" customWidth="1"/>
    <col min="15" max="16384" width="11.453125" style="36"/>
  </cols>
  <sheetData>
    <row r="1" spans="1:2" ht="12">
      <c r="A1" s="34" t="s">
        <v>221</v>
      </c>
      <c r="B1" s="35" t="s">
        <v>215</v>
      </c>
    </row>
    <row r="2" spans="1:2">
      <c r="A2" s="46" t="s">
        <v>222</v>
      </c>
      <c r="B2" s="47"/>
    </row>
    <row r="3" spans="1:2" ht="96.5">
      <c r="A3" s="46" t="s">
        <v>708</v>
      </c>
      <c r="B3" s="47" t="s">
        <v>712</v>
      </c>
    </row>
    <row r="4" spans="1:2" ht="107">
      <c r="A4" s="46" t="s">
        <v>707</v>
      </c>
      <c r="B4" s="47" t="s">
        <v>709</v>
      </c>
    </row>
    <row r="5" spans="1:2" ht="107">
      <c r="A5" s="46" t="s">
        <v>515</v>
      </c>
      <c r="B5" s="47" t="s">
        <v>711</v>
      </c>
    </row>
    <row r="6" spans="1:2" ht="63">
      <c r="A6" s="46" t="s">
        <v>516</v>
      </c>
      <c r="B6" s="47" t="s">
        <v>710</v>
      </c>
    </row>
  </sheetData>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sheetPr>
  <dimension ref="A1:F15"/>
  <sheetViews>
    <sheetView workbookViewId="0">
      <selection activeCell="F7" sqref="F7"/>
    </sheetView>
  </sheetViews>
  <sheetFormatPr baseColWidth="10" defaultColWidth="11.453125" defaultRowHeight="10.5"/>
  <cols>
    <col min="1" max="1" width="28.7265625" style="36" customWidth="1"/>
    <col min="2" max="2" width="6.54296875" style="36" customWidth="1"/>
    <col min="3" max="3" width="32" style="36" bestFit="1" customWidth="1"/>
    <col min="4" max="4" width="57.54296875" style="36" customWidth="1"/>
    <col min="5" max="5" width="53.453125" style="36" customWidth="1"/>
    <col min="6" max="6" width="46.453125" style="36" customWidth="1"/>
    <col min="7" max="16" width="20.7265625" style="36" customWidth="1"/>
    <col min="17" max="16384" width="11.453125" style="36"/>
  </cols>
  <sheetData>
    <row r="1" spans="1:6" ht="12">
      <c r="C1" s="52" t="s">
        <v>234</v>
      </c>
      <c r="D1" s="52"/>
      <c r="F1" s="153" t="s">
        <v>489</v>
      </c>
    </row>
    <row r="2" spans="1:6" ht="42">
      <c r="A2" s="36" t="str">
        <f>CONCATENATE(C2,"-",B2)</f>
        <v>webertherm ESPIGA -placa</v>
      </c>
      <c r="B2" s="36" t="s">
        <v>235</v>
      </c>
      <c r="C2" s="37" t="s">
        <v>755</v>
      </c>
      <c r="D2" s="38" t="s">
        <v>756</v>
      </c>
      <c r="E2" s="38" t="s">
        <v>769</v>
      </c>
    </row>
    <row r="3" spans="1:6" ht="42">
      <c r="A3" s="36" t="str">
        <f t="shared" ref="A3:A10" si="0">CONCATENATE(C3,"-",B3)</f>
        <v>webertherm ESPIGA SLD-5-placa</v>
      </c>
      <c r="B3" s="36" t="s">
        <v>235</v>
      </c>
      <c r="C3" s="37" t="s">
        <v>767</v>
      </c>
      <c r="D3" s="38" t="s">
        <v>757</v>
      </c>
      <c r="E3" s="38" t="s">
        <v>770</v>
      </c>
    </row>
    <row r="4" spans="1:6" ht="73.5">
      <c r="A4" s="36" t="str">
        <f t="shared" si="0"/>
        <v>webertherm ESPIGA SRD-5-placa</v>
      </c>
      <c r="B4" s="36" t="s">
        <v>235</v>
      </c>
      <c r="C4" s="37" t="s">
        <v>766</v>
      </c>
      <c r="D4" s="38" t="s">
        <v>758</v>
      </c>
      <c r="E4" s="38" t="s">
        <v>771</v>
      </c>
      <c r="F4" s="38" t="s">
        <v>773</v>
      </c>
    </row>
    <row r="5" spans="1:6" ht="42">
      <c r="A5" s="36" t="str">
        <f t="shared" si="0"/>
        <v>webertherm ESPIGA H3-placa</v>
      </c>
      <c r="B5" s="36" t="s">
        <v>235</v>
      </c>
      <c r="C5" s="37" t="s">
        <v>765</v>
      </c>
      <c r="D5" s="38" t="s">
        <v>759</v>
      </c>
      <c r="E5" s="38" t="s">
        <v>772</v>
      </c>
    </row>
    <row r="6" spans="1:6" ht="84">
      <c r="A6" s="36" t="str">
        <f t="shared" si="0"/>
        <v>webertherm ESPIGA STR H-placa</v>
      </c>
      <c r="B6" s="36" t="s">
        <v>235</v>
      </c>
      <c r="C6" s="37" t="s">
        <v>768</v>
      </c>
      <c r="D6" s="38" t="s">
        <v>760</v>
      </c>
      <c r="E6" s="38" t="s">
        <v>853</v>
      </c>
      <c r="F6" s="38" t="s">
        <v>854</v>
      </c>
    </row>
    <row r="7" spans="1:6" ht="52.5">
      <c r="A7" s="36" t="str">
        <f t="shared" si="0"/>
        <v>webertherm ESPIGA -mortero</v>
      </c>
      <c r="B7" s="36" t="s">
        <v>239</v>
      </c>
      <c r="C7" s="37" t="s">
        <v>755</v>
      </c>
      <c r="D7" s="38" t="s">
        <v>761</v>
      </c>
    </row>
    <row r="8" spans="1:6" ht="69" customHeight="1">
      <c r="A8" s="36" t="str">
        <f t="shared" si="0"/>
        <v>webertherm ESPIGA SLD-5-mortero</v>
      </c>
      <c r="B8" s="36" t="s">
        <v>239</v>
      </c>
      <c r="C8" s="37" t="s">
        <v>767</v>
      </c>
      <c r="D8" s="38" t="s">
        <v>762</v>
      </c>
    </row>
    <row r="9" spans="1:6" ht="52.5">
      <c r="A9" s="36" t="str">
        <f t="shared" si="0"/>
        <v>webertherm ESPIGA SRD-5-mortero</v>
      </c>
      <c r="B9" s="36" t="s">
        <v>239</v>
      </c>
      <c r="C9" s="37" t="s">
        <v>766</v>
      </c>
      <c r="D9" s="38" t="s">
        <v>763</v>
      </c>
    </row>
    <row r="10" spans="1:6" ht="42">
      <c r="A10" s="36" t="str">
        <f t="shared" si="0"/>
        <v>webertherm ESPIGA H3-mortero</v>
      </c>
      <c r="B10" s="36" t="s">
        <v>239</v>
      </c>
      <c r="C10" s="37" t="s">
        <v>765</v>
      </c>
      <c r="D10" s="38" t="s">
        <v>764</v>
      </c>
    </row>
    <row r="11" spans="1:6" s="53" customFormat="1"/>
    <row r="12" spans="1:6" s="53" customFormat="1"/>
    <row r="13" spans="1:6" s="53" customFormat="1" ht="12">
      <c r="C13" s="52" t="s">
        <v>234</v>
      </c>
      <c r="D13" s="52"/>
    </row>
    <row r="14" spans="1:6" ht="21">
      <c r="A14" s="53"/>
      <c r="B14" s="53"/>
      <c r="C14" s="37" t="s">
        <v>240</v>
      </c>
      <c r="D14" s="38" t="s">
        <v>241</v>
      </c>
    </row>
    <row r="15" spans="1:6" ht="31.5">
      <c r="A15" s="53"/>
      <c r="B15" s="53"/>
      <c r="C15" s="37" t="s">
        <v>242</v>
      </c>
      <c r="D15" s="38" t="s">
        <v>774</v>
      </c>
    </row>
  </sheetData>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G246"/>
  <sheetViews>
    <sheetView topLeftCell="A169" zoomScale="80" zoomScaleNormal="80" workbookViewId="0">
      <selection activeCell="B175" sqref="B175"/>
    </sheetView>
  </sheetViews>
  <sheetFormatPr baseColWidth="10" defaultColWidth="11.453125" defaultRowHeight="14.5"/>
  <cols>
    <col min="1" max="1" width="11.453125" style="125"/>
    <col min="2" max="2" width="45.54296875" style="125" bestFit="1" customWidth="1"/>
    <col min="3" max="3" width="37.7265625" style="125" bestFit="1" customWidth="1"/>
    <col min="4" max="4" width="4.453125" style="125" bestFit="1" customWidth="1"/>
    <col min="5" max="5" width="22" style="125" customWidth="1"/>
    <col min="6" max="7" width="11.453125" style="125"/>
    <col min="8" max="8" width="18.7265625" style="125" customWidth="1"/>
    <col min="9" max="16384" width="11.453125" style="125"/>
  </cols>
  <sheetData>
    <row r="1" spans="2:7">
      <c r="B1" s="7" t="s">
        <v>155</v>
      </c>
      <c r="E1" s="126" t="s">
        <v>154</v>
      </c>
    </row>
    <row r="2" spans="2:7">
      <c r="B2" s="125" t="s">
        <v>149</v>
      </c>
      <c r="C2" s="125" t="s">
        <v>147</v>
      </c>
    </row>
    <row r="4" spans="2:7">
      <c r="B4" s="125" t="s">
        <v>841</v>
      </c>
      <c r="C4" s="125" t="s">
        <v>843</v>
      </c>
    </row>
    <row r="5" spans="2:7">
      <c r="B5" s="125" t="s">
        <v>842</v>
      </c>
      <c r="C5" s="125" t="s">
        <v>843</v>
      </c>
    </row>
    <row r="6" spans="2:7">
      <c r="B6" s="125" t="s">
        <v>15</v>
      </c>
      <c r="C6" s="125" t="s">
        <v>15</v>
      </c>
    </row>
    <row r="7" spans="2:7">
      <c r="B7" s="125" t="s">
        <v>16</v>
      </c>
      <c r="C7" s="125" t="s">
        <v>16</v>
      </c>
    </row>
    <row r="9" spans="2:7">
      <c r="B9" s="125" t="s">
        <v>18</v>
      </c>
      <c r="C9" s="125" t="s">
        <v>150</v>
      </c>
      <c r="D9" s="125">
        <v>20</v>
      </c>
    </row>
    <row r="10" spans="2:7">
      <c r="B10" s="125" t="s">
        <v>468</v>
      </c>
      <c r="C10" s="125" t="s">
        <v>150</v>
      </c>
      <c r="D10" s="125">
        <v>20</v>
      </c>
    </row>
    <row r="11" spans="2:7">
      <c r="B11" s="125" t="s">
        <v>334</v>
      </c>
      <c r="C11" s="125" t="s">
        <v>150</v>
      </c>
      <c r="D11" s="125">
        <v>30</v>
      </c>
    </row>
    <row r="12" spans="2:7">
      <c r="B12" s="125" t="s">
        <v>469</v>
      </c>
      <c r="C12" s="125" t="s">
        <v>150</v>
      </c>
      <c r="D12" s="125">
        <v>30</v>
      </c>
    </row>
    <row r="13" spans="2:7">
      <c r="B13" s="125" t="s">
        <v>19</v>
      </c>
      <c r="C13" s="125" t="s">
        <v>150</v>
      </c>
      <c r="D13" s="125">
        <v>40</v>
      </c>
      <c r="E13" s="127"/>
      <c r="F13" s="127"/>
      <c r="G13" s="127"/>
    </row>
    <row r="14" spans="2:7">
      <c r="B14" s="125" t="s">
        <v>470</v>
      </c>
      <c r="C14" s="125" t="s">
        <v>150</v>
      </c>
      <c r="D14" s="125">
        <v>40</v>
      </c>
      <c r="E14" s="127"/>
      <c r="F14" s="127"/>
      <c r="G14" s="127"/>
    </row>
    <row r="15" spans="2:7">
      <c r="B15" s="125" t="s">
        <v>328</v>
      </c>
      <c r="C15" s="125" t="s">
        <v>150</v>
      </c>
      <c r="D15" s="125">
        <v>50</v>
      </c>
      <c r="E15" s="127"/>
      <c r="F15" s="127"/>
      <c r="G15" s="127"/>
    </row>
    <row r="16" spans="2:7">
      <c r="B16" s="125" t="s">
        <v>471</v>
      </c>
      <c r="C16" s="125" t="s">
        <v>150</v>
      </c>
      <c r="D16" s="125">
        <v>50</v>
      </c>
      <c r="E16" s="127"/>
      <c r="F16" s="127"/>
      <c r="G16" s="127"/>
    </row>
    <row r="17" spans="2:7">
      <c r="B17" s="125" t="s">
        <v>20</v>
      </c>
      <c r="C17" s="125" t="s">
        <v>150</v>
      </c>
      <c r="D17" s="125">
        <v>60</v>
      </c>
      <c r="E17" s="128"/>
      <c r="F17" s="128"/>
      <c r="G17" s="128"/>
    </row>
    <row r="18" spans="2:7">
      <c r="B18" s="125" t="s">
        <v>472</v>
      </c>
      <c r="C18" s="125" t="s">
        <v>150</v>
      </c>
      <c r="D18" s="125">
        <v>60</v>
      </c>
      <c r="E18" s="128"/>
      <c r="F18" s="128"/>
      <c r="G18" s="128"/>
    </row>
    <row r="19" spans="2:7">
      <c r="B19" s="125" t="s">
        <v>329</v>
      </c>
      <c r="C19" s="125" t="s">
        <v>150</v>
      </c>
      <c r="D19" s="125">
        <v>70</v>
      </c>
      <c r="E19" s="128"/>
      <c r="F19" s="128"/>
      <c r="G19" s="128"/>
    </row>
    <row r="20" spans="2:7">
      <c r="B20" s="125" t="s">
        <v>473</v>
      </c>
      <c r="C20" s="125" t="s">
        <v>150</v>
      </c>
      <c r="D20" s="125">
        <v>70</v>
      </c>
      <c r="E20" s="128"/>
      <c r="F20" s="128"/>
      <c r="G20" s="128"/>
    </row>
    <row r="21" spans="2:7">
      <c r="B21" s="125" t="s">
        <v>21</v>
      </c>
      <c r="C21" s="125" t="s">
        <v>150</v>
      </c>
      <c r="D21" s="125">
        <v>80</v>
      </c>
      <c r="E21" s="128"/>
      <c r="F21" s="128"/>
      <c r="G21" s="128"/>
    </row>
    <row r="22" spans="2:7">
      <c r="B22" s="125" t="s">
        <v>474</v>
      </c>
      <c r="C22" s="125" t="s">
        <v>150</v>
      </c>
      <c r="D22" s="125">
        <v>80</v>
      </c>
      <c r="E22" s="128"/>
      <c r="F22" s="128"/>
      <c r="G22" s="128"/>
    </row>
    <row r="23" spans="2:7">
      <c r="B23" s="125" t="s">
        <v>330</v>
      </c>
      <c r="C23" s="125" t="s">
        <v>150</v>
      </c>
      <c r="D23" s="125">
        <v>90</v>
      </c>
      <c r="E23" s="128"/>
      <c r="F23" s="128"/>
      <c r="G23" s="128"/>
    </row>
    <row r="24" spans="2:7">
      <c r="B24" s="125" t="s">
        <v>493</v>
      </c>
      <c r="C24" s="125" t="s">
        <v>150</v>
      </c>
      <c r="D24" s="125">
        <v>90</v>
      </c>
      <c r="E24" s="128"/>
      <c r="F24" s="128"/>
      <c r="G24" s="128"/>
    </row>
    <row r="25" spans="2:7">
      <c r="B25" s="125" t="s">
        <v>22</v>
      </c>
      <c r="C25" s="125" t="s">
        <v>150</v>
      </c>
      <c r="D25" s="125">
        <v>100</v>
      </c>
      <c r="E25" s="128"/>
      <c r="F25" s="128"/>
      <c r="G25" s="128"/>
    </row>
    <row r="26" spans="2:7">
      <c r="B26" s="125" t="s">
        <v>475</v>
      </c>
      <c r="C26" s="125" t="s">
        <v>150</v>
      </c>
      <c r="D26" s="125">
        <v>100</v>
      </c>
      <c r="E26" s="128"/>
      <c r="F26" s="128"/>
      <c r="G26" s="128"/>
    </row>
    <row r="27" spans="2:7">
      <c r="B27" s="125" t="s">
        <v>331</v>
      </c>
      <c r="C27" s="125" t="s">
        <v>150</v>
      </c>
      <c r="D27" s="125">
        <v>110</v>
      </c>
      <c r="E27" s="128"/>
      <c r="F27" s="128"/>
      <c r="G27" s="128"/>
    </row>
    <row r="28" spans="2:7">
      <c r="B28" s="125" t="s">
        <v>497</v>
      </c>
      <c r="C28" s="125" t="s">
        <v>150</v>
      </c>
      <c r="D28" s="125">
        <v>110</v>
      </c>
      <c r="E28" s="128"/>
      <c r="F28" s="128"/>
      <c r="G28" s="128"/>
    </row>
    <row r="29" spans="2:7">
      <c r="B29" s="125" t="s">
        <v>23</v>
      </c>
      <c r="C29" s="125" t="s">
        <v>150</v>
      </c>
      <c r="D29" s="125">
        <v>120</v>
      </c>
      <c r="E29" s="128"/>
      <c r="F29" s="128"/>
      <c r="G29" s="128"/>
    </row>
    <row r="30" spans="2:7">
      <c r="B30" s="125" t="s">
        <v>476</v>
      </c>
      <c r="C30" s="125" t="s">
        <v>150</v>
      </c>
      <c r="D30" s="125">
        <v>120</v>
      </c>
      <c r="E30" s="128"/>
      <c r="F30" s="128"/>
      <c r="G30" s="128"/>
    </row>
    <row r="31" spans="2:7">
      <c r="B31" s="125" t="s">
        <v>332</v>
      </c>
      <c r="C31" s="125" t="s">
        <v>150</v>
      </c>
      <c r="D31" s="125">
        <v>130</v>
      </c>
      <c r="E31" s="128"/>
      <c r="F31" s="128"/>
      <c r="G31" s="128"/>
    </row>
    <row r="32" spans="2:7">
      <c r="B32" s="125" t="s">
        <v>496</v>
      </c>
      <c r="C32" s="125" t="s">
        <v>150</v>
      </c>
      <c r="D32" s="125">
        <v>130</v>
      </c>
      <c r="E32" s="128"/>
      <c r="F32" s="128"/>
      <c r="G32" s="128"/>
    </row>
    <row r="33" spans="2:7">
      <c r="B33" s="125" t="s">
        <v>24</v>
      </c>
      <c r="C33" s="125" t="s">
        <v>150</v>
      </c>
      <c r="D33" s="125">
        <v>140</v>
      </c>
      <c r="E33" s="128"/>
      <c r="F33" s="128"/>
      <c r="G33" s="128"/>
    </row>
    <row r="34" spans="2:7">
      <c r="B34" s="125" t="s">
        <v>495</v>
      </c>
      <c r="C34" s="125" t="s">
        <v>150</v>
      </c>
      <c r="D34" s="125">
        <v>140</v>
      </c>
      <c r="E34" s="128"/>
      <c r="F34" s="128"/>
      <c r="G34" s="128"/>
    </row>
    <row r="35" spans="2:7">
      <c r="B35" s="125" t="s">
        <v>333</v>
      </c>
      <c r="C35" s="125" t="s">
        <v>150</v>
      </c>
      <c r="D35" s="125">
        <v>150</v>
      </c>
      <c r="E35" s="128"/>
      <c r="F35" s="128"/>
      <c r="G35" s="128"/>
    </row>
    <row r="36" spans="2:7">
      <c r="B36" s="125" t="s">
        <v>494</v>
      </c>
      <c r="C36" s="125" t="s">
        <v>150</v>
      </c>
      <c r="D36" s="125">
        <v>150</v>
      </c>
      <c r="E36" s="128"/>
      <c r="F36" s="128"/>
      <c r="G36" s="128"/>
    </row>
    <row r="37" spans="2:7">
      <c r="B37" s="125" t="s">
        <v>25</v>
      </c>
      <c r="C37" s="125" t="s">
        <v>150</v>
      </c>
      <c r="D37" s="125">
        <v>160</v>
      </c>
      <c r="E37" s="128"/>
      <c r="F37" s="128"/>
      <c r="G37" s="128"/>
    </row>
    <row r="38" spans="2:7">
      <c r="B38" s="125" t="s">
        <v>477</v>
      </c>
      <c r="C38" s="125" t="s">
        <v>150</v>
      </c>
      <c r="D38" s="125">
        <v>160</v>
      </c>
      <c r="E38" s="128"/>
      <c r="F38" s="128"/>
      <c r="G38" s="128"/>
    </row>
    <row r="39" spans="2:7">
      <c r="C39" s="127"/>
    </row>
    <row r="40" spans="2:7">
      <c r="B40" s="125" t="s">
        <v>26</v>
      </c>
      <c r="C40" s="125" t="s">
        <v>151</v>
      </c>
      <c r="D40" s="125">
        <v>20</v>
      </c>
    </row>
    <row r="41" spans="2:7">
      <c r="B41" s="125" t="s">
        <v>478</v>
      </c>
      <c r="C41" s="125" t="s">
        <v>151</v>
      </c>
      <c r="D41" s="125">
        <v>20</v>
      </c>
    </row>
    <row r="42" spans="2:7">
      <c r="B42" s="125" t="s">
        <v>321</v>
      </c>
      <c r="C42" s="125" t="s">
        <v>151</v>
      </c>
      <c r="D42" s="125">
        <v>30</v>
      </c>
    </row>
    <row r="43" spans="2:7">
      <c r="B43" s="125" t="s">
        <v>479</v>
      </c>
      <c r="C43" s="125" t="s">
        <v>151</v>
      </c>
      <c r="D43" s="125">
        <v>30</v>
      </c>
    </row>
    <row r="44" spans="2:7">
      <c r="B44" s="125" t="s">
        <v>27</v>
      </c>
      <c r="C44" s="125" t="s">
        <v>151</v>
      </c>
      <c r="D44" s="125">
        <v>40</v>
      </c>
    </row>
    <row r="45" spans="2:7">
      <c r="B45" s="125" t="s">
        <v>480</v>
      </c>
      <c r="C45" s="125" t="s">
        <v>151</v>
      </c>
      <c r="D45" s="125">
        <v>40</v>
      </c>
    </row>
    <row r="46" spans="2:7">
      <c r="B46" s="125" t="s">
        <v>322</v>
      </c>
      <c r="C46" s="125" t="s">
        <v>151</v>
      </c>
      <c r="D46" s="125">
        <v>50</v>
      </c>
    </row>
    <row r="47" spans="2:7">
      <c r="B47" s="125" t="s">
        <v>481</v>
      </c>
      <c r="C47" s="125" t="s">
        <v>151</v>
      </c>
      <c r="D47" s="125">
        <v>50</v>
      </c>
    </row>
    <row r="48" spans="2:7">
      <c r="B48" s="125" t="s">
        <v>28</v>
      </c>
      <c r="C48" s="125" t="s">
        <v>151</v>
      </c>
      <c r="D48" s="125">
        <v>60</v>
      </c>
    </row>
    <row r="49" spans="2:4">
      <c r="B49" s="125" t="s">
        <v>482</v>
      </c>
      <c r="C49" s="125" t="s">
        <v>151</v>
      </c>
      <c r="D49" s="125">
        <v>60</v>
      </c>
    </row>
    <row r="50" spans="2:4">
      <c r="B50" s="125" t="s">
        <v>323</v>
      </c>
      <c r="C50" s="125" t="s">
        <v>151</v>
      </c>
      <c r="D50" s="125">
        <v>70</v>
      </c>
    </row>
    <row r="51" spans="2:4">
      <c r="B51" s="125" t="s">
        <v>483</v>
      </c>
      <c r="C51" s="125" t="s">
        <v>151</v>
      </c>
      <c r="D51" s="125">
        <v>70</v>
      </c>
    </row>
    <row r="52" spans="2:4">
      <c r="B52" s="125" t="s">
        <v>29</v>
      </c>
      <c r="C52" s="125" t="s">
        <v>151</v>
      </c>
      <c r="D52" s="125">
        <v>80</v>
      </c>
    </row>
    <row r="53" spans="2:4">
      <c r="B53" s="125" t="s">
        <v>484</v>
      </c>
      <c r="C53" s="125" t="s">
        <v>151</v>
      </c>
      <c r="D53" s="125">
        <v>80</v>
      </c>
    </row>
    <row r="54" spans="2:4">
      <c r="B54" s="125" t="s">
        <v>324</v>
      </c>
      <c r="C54" s="125" t="s">
        <v>151</v>
      </c>
      <c r="D54" s="125">
        <v>90</v>
      </c>
    </row>
    <row r="55" spans="2:4">
      <c r="B55" s="125" t="s">
        <v>485</v>
      </c>
      <c r="C55" s="125" t="s">
        <v>151</v>
      </c>
      <c r="D55" s="125">
        <v>90</v>
      </c>
    </row>
    <row r="56" spans="2:4">
      <c r="B56" s="125" t="s">
        <v>32</v>
      </c>
      <c r="C56" s="125" t="s">
        <v>151</v>
      </c>
      <c r="D56" s="125">
        <v>100</v>
      </c>
    </row>
    <row r="57" spans="2:4">
      <c r="B57" s="125" t="s">
        <v>486</v>
      </c>
      <c r="C57" s="125" t="s">
        <v>151</v>
      </c>
      <c r="D57" s="125">
        <v>100</v>
      </c>
    </row>
    <row r="58" spans="2:4">
      <c r="B58" s="125" t="s">
        <v>325</v>
      </c>
      <c r="C58" s="125" t="s">
        <v>151</v>
      </c>
      <c r="D58" s="125">
        <v>110</v>
      </c>
    </row>
    <row r="59" spans="2:4">
      <c r="B59" s="125" t="s">
        <v>498</v>
      </c>
      <c r="C59" s="125" t="s">
        <v>151</v>
      </c>
      <c r="D59" s="125">
        <v>110</v>
      </c>
    </row>
    <row r="60" spans="2:4">
      <c r="B60" s="125" t="s">
        <v>30</v>
      </c>
      <c r="C60" s="125" t="s">
        <v>151</v>
      </c>
      <c r="D60" s="125">
        <v>120</v>
      </c>
    </row>
    <row r="61" spans="2:4">
      <c r="B61" s="125" t="s">
        <v>487</v>
      </c>
      <c r="C61" s="125" t="s">
        <v>151</v>
      </c>
      <c r="D61" s="125">
        <v>120</v>
      </c>
    </row>
    <row r="62" spans="2:4">
      <c r="B62" s="125" t="s">
        <v>326</v>
      </c>
      <c r="C62" s="125" t="s">
        <v>151</v>
      </c>
      <c r="D62" s="125">
        <v>130</v>
      </c>
    </row>
    <row r="63" spans="2:4">
      <c r="B63" s="125" t="s">
        <v>499</v>
      </c>
      <c r="C63" s="125" t="s">
        <v>151</v>
      </c>
      <c r="D63" s="125">
        <v>130</v>
      </c>
    </row>
    <row r="64" spans="2:4">
      <c r="B64" s="125" t="s">
        <v>33</v>
      </c>
      <c r="C64" s="125" t="s">
        <v>151</v>
      </c>
      <c r="D64" s="125">
        <v>140</v>
      </c>
    </row>
    <row r="65" spans="2:4">
      <c r="B65" s="125" t="s">
        <v>500</v>
      </c>
      <c r="C65" s="125" t="s">
        <v>151</v>
      </c>
      <c r="D65" s="125">
        <v>140</v>
      </c>
    </row>
    <row r="66" spans="2:4">
      <c r="B66" s="125" t="s">
        <v>327</v>
      </c>
      <c r="C66" s="125" t="s">
        <v>151</v>
      </c>
      <c r="D66" s="125">
        <v>150</v>
      </c>
    </row>
    <row r="67" spans="2:4">
      <c r="B67" s="125" t="s">
        <v>488</v>
      </c>
      <c r="C67" s="125" t="s">
        <v>151</v>
      </c>
      <c r="D67" s="125">
        <v>150</v>
      </c>
    </row>
    <row r="68" spans="2:4">
      <c r="B68" s="125" t="s">
        <v>31</v>
      </c>
      <c r="C68" s="125" t="s">
        <v>151</v>
      </c>
      <c r="D68" s="125">
        <v>160</v>
      </c>
    </row>
    <row r="69" spans="2:4">
      <c r="B69" s="125" t="s">
        <v>501</v>
      </c>
      <c r="C69" s="125" t="s">
        <v>151</v>
      </c>
      <c r="D69" s="125">
        <v>160</v>
      </c>
    </row>
    <row r="71" spans="2:4">
      <c r="B71" s="125" t="s">
        <v>335</v>
      </c>
      <c r="C71" s="125" t="s">
        <v>153</v>
      </c>
      <c r="D71" s="125">
        <v>30</v>
      </c>
    </row>
    <row r="72" spans="2:4">
      <c r="B72" s="125" t="s">
        <v>60</v>
      </c>
      <c r="C72" s="125" t="s">
        <v>153</v>
      </c>
      <c r="D72" s="125">
        <v>40</v>
      </c>
    </row>
    <row r="73" spans="2:4">
      <c r="B73" s="125" t="s">
        <v>339</v>
      </c>
      <c r="C73" s="125" t="s">
        <v>153</v>
      </c>
      <c r="D73" s="125">
        <v>50</v>
      </c>
    </row>
    <row r="74" spans="2:4">
      <c r="B74" s="125" t="s">
        <v>374</v>
      </c>
      <c r="C74" s="125" t="s">
        <v>153</v>
      </c>
      <c r="D74" s="125">
        <v>60</v>
      </c>
    </row>
    <row r="75" spans="2:4">
      <c r="B75" s="125" t="s">
        <v>62</v>
      </c>
      <c r="C75" s="125" t="s">
        <v>153</v>
      </c>
      <c r="D75" s="125">
        <v>80</v>
      </c>
    </row>
    <row r="76" spans="2:4">
      <c r="B76" s="125" t="s">
        <v>375</v>
      </c>
      <c r="C76" s="125" t="s">
        <v>153</v>
      </c>
      <c r="D76" s="125">
        <v>100</v>
      </c>
    </row>
    <row r="77" spans="2:4">
      <c r="B77" s="125" t="s">
        <v>459</v>
      </c>
      <c r="C77" s="125" t="s">
        <v>153</v>
      </c>
      <c r="D77" s="125">
        <v>120</v>
      </c>
    </row>
    <row r="79" spans="2:4">
      <c r="B79" s="125" t="s">
        <v>64</v>
      </c>
      <c r="C79" s="125" t="s">
        <v>152</v>
      </c>
      <c r="D79" s="125">
        <v>40</v>
      </c>
    </row>
    <row r="80" spans="2:4">
      <c r="B80" s="125" t="s">
        <v>65</v>
      </c>
      <c r="C80" s="125" t="s">
        <v>152</v>
      </c>
      <c r="D80" s="125">
        <v>60</v>
      </c>
    </row>
    <row r="81" spans="2:4">
      <c r="B81" s="125" t="s">
        <v>66</v>
      </c>
      <c r="C81" s="125" t="s">
        <v>152</v>
      </c>
      <c r="D81" s="125">
        <v>80</v>
      </c>
    </row>
    <row r="82" spans="2:4">
      <c r="B82" s="125" t="s">
        <v>67</v>
      </c>
      <c r="C82" s="125" t="s">
        <v>152</v>
      </c>
      <c r="D82" s="125">
        <v>100</v>
      </c>
    </row>
    <row r="83" spans="2:4">
      <c r="B83" s="125" t="s">
        <v>384</v>
      </c>
      <c r="C83" s="125" t="s">
        <v>152</v>
      </c>
      <c r="D83" s="125">
        <v>120</v>
      </c>
    </row>
    <row r="84" spans="2:4">
      <c r="B84" s="125" t="s">
        <v>385</v>
      </c>
      <c r="C84" s="125" t="s">
        <v>152</v>
      </c>
      <c r="D84" s="125">
        <v>140</v>
      </c>
    </row>
    <row r="86" spans="2:4">
      <c r="B86" s="125" t="s">
        <v>68</v>
      </c>
      <c r="C86" s="125" t="s">
        <v>157</v>
      </c>
      <c r="D86" s="125">
        <v>20</v>
      </c>
    </row>
    <row r="87" spans="2:4">
      <c r="B87" s="125" t="s">
        <v>336</v>
      </c>
      <c r="C87" s="125" t="s">
        <v>157</v>
      </c>
      <c r="D87" s="125">
        <v>30</v>
      </c>
    </row>
    <row r="88" spans="2:4">
      <c r="B88" s="125" t="s">
        <v>69</v>
      </c>
      <c r="C88" s="125" t="s">
        <v>157</v>
      </c>
      <c r="D88" s="125">
        <v>40</v>
      </c>
    </row>
    <row r="89" spans="2:4">
      <c r="B89" s="125" t="s">
        <v>337</v>
      </c>
      <c r="C89" s="125" t="s">
        <v>157</v>
      </c>
      <c r="D89" s="125">
        <v>50</v>
      </c>
    </row>
    <row r="90" spans="2:4">
      <c r="B90" s="125" t="s">
        <v>70</v>
      </c>
      <c r="C90" s="125" t="s">
        <v>157</v>
      </c>
      <c r="D90" s="125">
        <v>60</v>
      </c>
    </row>
    <row r="91" spans="2:4">
      <c r="B91" s="125" t="s">
        <v>338</v>
      </c>
      <c r="C91" s="125" t="s">
        <v>157</v>
      </c>
      <c r="D91" s="125">
        <v>70</v>
      </c>
    </row>
    <row r="92" spans="2:4">
      <c r="B92" s="125" t="s">
        <v>71</v>
      </c>
      <c r="C92" s="125" t="s">
        <v>157</v>
      </c>
      <c r="D92" s="125">
        <v>80</v>
      </c>
    </row>
    <row r="93" spans="2:4">
      <c r="B93" s="125" t="s">
        <v>451</v>
      </c>
      <c r="C93" s="125" t="s">
        <v>157</v>
      </c>
      <c r="D93" s="125">
        <v>90</v>
      </c>
    </row>
    <row r="94" spans="2:4">
      <c r="B94" s="125" t="s">
        <v>72</v>
      </c>
      <c r="C94" s="125" t="s">
        <v>157</v>
      </c>
      <c r="D94" s="125">
        <v>100</v>
      </c>
    </row>
    <row r="95" spans="2:4">
      <c r="B95" s="125" t="s">
        <v>73</v>
      </c>
      <c r="C95" s="125" t="s">
        <v>157</v>
      </c>
      <c r="D95" s="125">
        <v>120</v>
      </c>
    </row>
    <row r="96" spans="2:4">
      <c r="B96" s="125" t="s">
        <v>74</v>
      </c>
      <c r="C96" s="125" t="s">
        <v>157</v>
      </c>
      <c r="D96" s="125">
        <v>140</v>
      </c>
    </row>
    <row r="98" spans="2:4">
      <c r="B98" s="125" t="s">
        <v>454</v>
      </c>
      <c r="C98" s="125" t="s">
        <v>421</v>
      </c>
      <c r="D98" s="125">
        <v>20</v>
      </c>
    </row>
    <row r="99" spans="2:4">
      <c r="B99" s="125" t="s">
        <v>387</v>
      </c>
      <c r="C99" s="125" t="s">
        <v>421</v>
      </c>
      <c r="D99" s="125">
        <v>40</v>
      </c>
    </row>
    <row r="100" spans="2:4">
      <c r="B100" s="125" t="s">
        <v>388</v>
      </c>
      <c r="C100" s="125" t="s">
        <v>421</v>
      </c>
      <c r="D100" s="125">
        <v>60</v>
      </c>
    </row>
    <row r="101" spans="2:4">
      <c r="B101" s="125" t="s">
        <v>389</v>
      </c>
      <c r="C101" s="125" t="s">
        <v>421</v>
      </c>
      <c r="D101" s="125">
        <v>80</v>
      </c>
    </row>
    <row r="102" spans="2:4">
      <c r="B102" s="125" t="s">
        <v>390</v>
      </c>
      <c r="C102" s="125" t="s">
        <v>421</v>
      </c>
      <c r="D102" s="125">
        <v>100</v>
      </c>
    </row>
    <row r="103" spans="2:4">
      <c r="B103" s="125" t="s">
        <v>391</v>
      </c>
      <c r="C103" s="125" t="s">
        <v>421</v>
      </c>
      <c r="D103" s="125">
        <v>120</v>
      </c>
    </row>
    <row r="104" spans="2:4">
      <c r="B104" s="125" t="s">
        <v>392</v>
      </c>
      <c r="C104" s="125" t="s">
        <v>421</v>
      </c>
      <c r="D104" s="125">
        <v>140</v>
      </c>
    </row>
    <row r="105" spans="2:4">
      <c r="B105" s="125" t="s">
        <v>393</v>
      </c>
      <c r="C105" s="125" t="s">
        <v>421</v>
      </c>
      <c r="D105" s="125">
        <v>160</v>
      </c>
    </row>
    <row r="106" spans="2:4">
      <c r="B106" s="125" t="s">
        <v>394</v>
      </c>
      <c r="C106" s="125" t="s">
        <v>421</v>
      </c>
      <c r="D106" s="125">
        <v>180</v>
      </c>
    </row>
    <row r="107" spans="2:4">
      <c r="B107" s="125" t="s">
        <v>395</v>
      </c>
      <c r="C107" s="125" t="s">
        <v>421</v>
      </c>
      <c r="D107" s="125">
        <v>200</v>
      </c>
    </row>
    <row r="108" spans="2:4">
      <c r="B108" s="125" t="s">
        <v>396</v>
      </c>
      <c r="C108" s="125" t="s">
        <v>421</v>
      </c>
      <c r="D108" s="125">
        <v>220</v>
      </c>
    </row>
    <row r="109" spans="2:4">
      <c r="B109" s="125" t="s">
        <v>397</v>
      </c>
      <c r="C109" s="125" t="s">
        <v>421</v>
      </c>
      <c r="D109" s="125">
        <v>240</v>
      </c>
    </row>
    <row r="110" spans="2:4">
      <c r="B110" s="125" t="s">
        <v>398</v>
      </c>
      <c r="C110" s="125" t="s">
        <v>421</v>
      </c>
      <c r="D110" s="125">
        <v>260</v>
      </c>
    </row>
    <row r="111" spans="2:4">
      <c r="B111" s="125" t="s">
        <v>399</v>
      </c>
      <c r="C111" s="125" t="s">
        <v>421</v>
      </c>
      <c r="D111" s="125">
        <v>280</v>
      </c>
    </row>
    <row r="112" spans="2:4">
      <c r="B112" s="125" t="s">
        <v>400</v>
      </c>
      <c r="C112" s="125" t="s">
        <v>421</v>
      </c>
      <c r="D112" s="125">
        <v>300</v>
      </c>
    </row>
    <row r="114" spans="2:4">
      <c r="B114" s="125" t="s">
        <v>452</v>
      </c>
      <c r="C114" s="125" t="s">
        <v>229</v>
      </c>
      <c r="D114" s="125">
        <v>50</v>
      </c>
    </row>
    <row r="115" spans="2:4">
      <c r="B115" s="125" t="s">
        <v>75</v>
      </c>
      <c r="C115" s="125" t="s">
        <v>229</v>
      </c>
      <c r="D115" s="125">
        <v>60</v>
      </c>
    </row>
    <row r="116" spans="2:4">
      <c r="B116" s="125" t="s">
        <v>76</v>
      </c>
      <c r="C116" s="125" t="s">
        <v>229</v>
      </c>
      <c r="D116" s="125">
        <v>80</v>
      </c>
    </row>
    <row r="117" spans="2:4">
      <c r="B117" s="125" t="s">
        <v>77</v>
      </c>
      <c r="C117" s="125" t="s">
        <v>229</v>
      </c>
      <c r="D117" s="125">
        <v>100</v>
      </c>
    </row>
    <row r="118" spans="2:4">
      <c r="B118" s="125" t="s">
        <v>78</v>
      </c>
      <c r="C118" s="125" t="s">
        <v>229</v>
      </c>
      <c r="D118" s="125">
        <v>120</v>
      </c>
    </row>
    <row r="119" spans="2:4">
      <c r="B119" s="125" t="s">
        <v>79</v>
      </c>
      <c r="C119" s="125" t="s">
        <v>229</v>
      </c>
      <c r="D119" s="125">
        <v>140</v>
      </c>
    </row>
    <row r="121" spans="2:4">
      <c r="B121" s="125" t="s">
        <v>81</v>
      </c>
      <c r="C121" s="125" t="s">
        <v>209</v>
      </c>
      <c r="D121" s="125">
        <v>20</v>
      </c>
    </row>
    <row r="122" spans="2:4">
      <c r="B122" s="125" t="s">
        <v>82</v>
      </c>
      <c r="C122" s="125" t="s">
        <v>209</v>
      </c>
      <c r="D122" s="125">
        <v>40</v>
      </c>
    </row>
    <row r="123" spans="2:4">
      <c r="B123" s="125" t="s">
        <v>83</v>
      </c>
      <c r="C123" s="125" t="s">
        <v>209</v>
      </c>
      <c r="D123" s="125">
        <v>60</v>
      </c>
    </row>
    <row r="124" spans="2:4">
      <c r="B124" s="125" t="s">
        <v>84</v>
      </c>
      <c r="C124" s="125" t="s">
        <v>209</v>
      </c>
      <c r="D124" s="125">
        <v>80</v>
      </c>
    </row>
    <row r="125" spans="2:4">
      <c r="B125" s="125" t="s">
        <v>85</v>
      </c>
      <c r="C125" s="125" t="s">
        <v>209</v>
      </c>
      <c r="D125" s="125">
        <v>100</v>
      </c>
    </row>
    <row r="126" spans="2:4">
      <c r="B126" s="125" t="s">
        <v>86</v>
      </c>
      <c r="C126" s="125" t="s">
        <v>209</v>
      </c>
      <c r="D126" s="125">
        <v>120</v>
      </c>
    </row>
    <row r="128" spans="2:4">
      <c r="B128" s="125" t="s">
        <v>87</v>
      </c>
      <c r="C128" s="125" t="s">
        <v>289</v>
      </c>
      <c r="D128" s="125">
        <v>20</v>
      </c>
    </row>
    <row r="129" spans="2:4">
      <c r="B129" s="125" t="s">
        <v>88</v>
      </c>
      <c r="C129" s="125" t="s">
        <v>289</v>
      </c>
      <c r="D129" s="125">
        <v>30</v>
      </c>
    </row>
    <row r="131" spans="2:4">
      <c r="B131" s="125" t="s">
        <v>34</v>
      </c>
      <c r="C131" s="125" t="s">
        <v>212</v>
      </c>
    </row>
    <row r="132" spans="2:4">
      <c r="B132" s="125" t="s">
        <v>35</v>
      </c>
      <c r="C132" s="125" t="s">
        <v>212</v>
      </c>
    </row>
    <row r="133" spans="2:4">
      <c r="B133" s="125" t="s">
        <v>36</v>
      </c>
      <c r="C133" s="125" t="s">
        <v>212</v>
      </c>
    </row>
    <row r="134" spans="2:4">
      <c r="B134" s="125" t="s">
        <v>37</v>
      </c>
      <c r="C134" s="125" t="s">
        <v>212</v>
      </c>
    </row>
    <row r="135" spans="2:4">
      <c r="B135" s="125" t="s">
        <v>38</v>
      </c>
      <c r="C135" s="125" t="s">
        <v>212</v>
      </c>
    </row>
    <row r="136" spans="2:4">
      <c r="B136" s="125" t="s">
        <v>39</v>
      </c>
      <c r="C136" s="125" t="s">
        <v>212</v>
      </c>
    </row>
    <row r="137" spans="2:4">
      <c r="B137" s="125" t="s">
        <v>461</v>
      </c>
      <c r="C137" s="125" t="s">
        <v>212</v>
      </c>
    </row>
    <row r="138" spans="2:4">
      <c r="B138" s="125" t="s">
        <v>462</v>
      </c>
      <c r="C138" s="125" t="s">
        <v>212</v>
      </c>
    </row>
    <row r="139" spans="2:4">
      <c r="B139" s="125" t="s">
        <v>463</v>
      </c>
      <c r="C139" s="125" t="s">
        <v>212</v>
      </c>
    </row>
    <row r="140" spans="2:4">
      <c r="B140" s="125" t="s">
        <v>464</v>
      </c>
      <c r="C140" s="125" t="s">
        <v>212</v>
      </c>
    </row>
    <row r="141" spans="2:4">
      <c r="B141" s="125" t="s">
        <v>465</v>
      </c>
      <c r="C141" s="125" t="s">
        <v>212</v>
      </c>
    </row>
    <row r="143" spans="2:4">
      <c r="B143" s="125" t="s">
        <v>40</v>
      </c>
      <c r="C143" s="125" t="s">
        <v>237</v>
      </c>
    </row>
    <row r="144" spans="2:4">
      <c r="B144" s="125" t="s">
        <v>41</v>
      </c>
      <c r="C144" s="125" t="s">
        <v>237</v>
      </c>
    </row>
    <row r="145" spans="2:3">
      <c r="B145" s="125" t="s">
        <v>42</v>
      </c>
      <c r="C145" s="125" t="s">
        <v>237</v>
      </c>
    </row>
    <row r="146" spans="2:3">
      <c r="B146" s="125" t="s">
        <v>43</v>
      </c>
      <c r="C146" s="125" t="s">
        <v>237</v>
      </c>
    </row>
    <row r="147" spans="2:3">
      <c r="B147" s="125" t="s">
        <v>44</v>
      </c>
      <c r="C147" s="125" t="s">
        <v>237</v>
      </c>
    </row>
    <row r="148" spans="2:3">
      <c r="B148" s="125" t="s">
        <v>45</v>
      </c>
      <c r="C148" s="125" t="s">
        <v>237</v>
      </c>
    </row>
    <row r="149" spans="2:3">
      <c r="B149" s="125" t="s">
        <v>46</v>
      </c>
      <c r="C149" s="125" t="s">
        <v>237</v>
      </c>
    </row>
    <row r="150" spans="2:3">
      <c r="B150" s="125" t="s">
        <v>47</v>
      </c>
      <c r="C150" s="125" t="s">
        <v>237</v>
      </c>
    </row>
    <row r="151" spans="2:3">
      <c r="B151" s="125" t="s">
        <v>48</v>
      </c>
      <c r="C151" s="125" t="s">
        <v>237</v>
      </c>
    </row>
    <row r="153" spans="2:3">
      <c r="B153" s="125" t="s">
        <v>49</v>
      </c>
      <c r="C153" s="125" t="s">
        <v>236</v>
      </c>
    </row>
    <row r="154" spans="2:3">
      <c r="B154" s="125" t="s">
        <v>50</v>
      </c>
      <c r="C154" s="125" t="s">
        <v>236</v>
      </c>
    </row>
    <row r="155" spans="2:3">
      <c r="B155" s="125" t="s">
        <v>51</v>
      </c>
      <c r="C155" s="125" t="s">
        <v>236</v>
      </c>
    </row>
    <row r="156" spans="2:3">
      <c r="B156" s="125" t="s">
        <v>52</v>
      </c>
      <c r="C156" s="125" t="s">
        <v>236</v>
      </c>
    </row>
    <row r="157" spans="2:3">
      <c r="B157" s="125" t="s">
        <v>53</v>
      </c>
      <c r="C157" s="125" t="s">
        <v>236</v>
      </c>
    </row>
    <row r="159" spans="2:3">
      <c r="B159" s="125" t="s">
        <v>54</v>
      </c>
      <c r="C159" s="125" t="s">
        <v>238</v>
      </c>
    </row>
    <row r="160" spans="2:3">
      <c r="B160" s="125" t="s">
        <v>55</v>
      </c>
      <c r="C160" s="125" t="s">
        <v>238</v>
      </c>
    </row>
    <row r="161" spans="2:3">
      <c r="B161" s="125" t="s">
        <v>56</v>
      </c>
      <c r="C161" s="125" t="s">
        <v>238</v>
      </c>
    </row>
    <row r="162" spans="2:3">
      <c r="B162" s="125" t="s">
        <v>57</v>
      </c>
      <c r="C162" s="125" t="s">
        <v>238</v>
      </c>
    </row>
    <row r="163" spans="2:3">
      <c r="B163" s="125" t="s">
        <v>58</v>
      </c>
      <c r="C163" s="125" t="s">
        <v>238</v>
      </c>
    </row>
    <row r="164" spans="2:3">
      <c r="B164" s="125" t="s">
        <v>59</v>
      </c>
      <c r="C164" s="125" t="s">
        <v>238</v>
      </c>
    </row>
    <row r="165" spans="2:3">
      <c r="B165" s="125" t="s">
        <v>467</v>
      </c>
      <c r="C165" s="125" t="s">
        <v>238</v>
      </c>
    </row>
    <row r="167" spans="2:3">
      <c r="B167" s="125" t="s">
        <v>193</v>
      </c>
      <c r="C167" s="125" t="s">
        <v>290</v>
      </c>
    </row>
    <row r="168" spans="2:3">
      <c r="B168" s="125" t="s">
        <v>194</v>
      </c>
      <c r="C168" s="125" t="s">
        <v>290</v>
      </c>
    </row>
    <row r="169" spans="2:3">
      <c r="B169" s="125" t="s">
        <v>195</v>
      </c>
      <c r="C169" s="125" t="s">
        <v>290</v>
      </c>
    </row>
    <row r="170" spans="2:3">
      <c r="B170" s="125" t="s">
        <v>196</v>
      </c>
      <c r="C170" s="125" t="s">
        <v>290</v>
      </c>
    </row>
    <row r="171" spans="2:3">
      <c r="B171" s="125" t="s">
        <v>197</v>
      </c>
      <c r="C171" s="125" t="s">
        <v>290</v>
      </c>
    </row>
    <row r="173" spans="2:3">
      <c r="B173" t="s">
        <v>928</v>
      </c>
      <c r="C173" s="125" t="s">
        <v>276</v>
      </c>
    </row>
    <row r="174" spans="2:3">
      <c r="B174" t="s">
        <v>929</v>
      </c>
      <c r="C174" s="125" t="s">
        <v>276</v>
      </c>
    </row>
    <row r="175" spans="2:3">
      <c r="B175" t="s">
        <v>931</v>
      </c>
      <c r="C175" s="125" t="s">
        <v>276</v>
      </c>
    </row>
    <row r="176" spans="2:3">
      <c r="B176" t="s">
        <v>930</v>
      </c>
      <c r="C176" s="125" t="s">
        <v>276</v>
      </c>
    </row>
    <row r="177" spans="2:3">
      <c r="B177" s="125" t="s">
        <v>439</v>
      </c>
      <c r="C177" s="125" t="s">
        <v>440</v>
      </c>
    </row>
    <row r="178" spans="2:3">
      <c r="B178" s="125" t="s">
        <v>445</v>
      </c>
      <c r="C178" s="125" t="s">
        <v>440</v>
      </c>
    </row>
    <row r="179" spans="2:3">
      <c r="B179" s="125" t="s">
        <v>446</v>
      </c>
      <c r="C179" s="125" t="s">
        <v>448</v>
      </c>
    </row>
    <row r="180" spans="2:3">
      <c r="B180" s="125" t="s">
        <v>447</v>
      </c>
      <c r="C180" s="125" t="s">
        <v>448</v>
      </c>
    </row>
    <row r="181" spans="2:3">
      <c r="B181" s="125" t="s">
        <v>443</v>
      </c>
      <c r="C181" s="125" t="s">
        <v>442</v>
      </c>
    </row>
    <row r="182" spans="2:3">
      <c r="B182" s="125" t="s">
        <v>444</v>
      </c>
      <c r="C182" s="125" t="s">
        <v>442</v>
      </c>
    </row>
    <row r="183" spans="2:3">
      <c r="B183" s="125" t="s">
        <v>408</v>
      </c>
      <c r="C183" s="125" t="s">
        <v>278</v>
      </c>
    </row>
    <row r="184" spans="2:3">
      <c r="B184" s="125" t="s">
        <v>412</v>
      </c>
      <c r="C184" s="125" t="s">
        <v>278</v>
      </c>
    </row>
    <row r="185" spans="2:3">
      <c r="B185" s="125" t="s">
        <v>409</v>
      </c>
      <c r="C185" s="125" t="s">
        <v>278</v>
      </c>
    </row>
    <row r="186" spans="2:3">
      <c r="B186" s="125" t="s">
        <v>413</v>
      </c>
      <c r="C186" s="125" t="s">
        <v>278</v>
      </c>
    </row>
    <row r="187" spans="2:3">
      <c r="B187" s="125" t="s">
        <v>410</v>
      </c>
      <c r="C187" s="125" t="s">
        <v>278</v>
      </c>
    </row>
    <row r="188" spans="2:3">
      <c r="B188" s="125" t="s">
        <v>414</v>
      </c>
      <c r="C188" s="125" t="s">
        <v>278</v>
      </c>
    </row>
    <row r="189" spans="2:3">
      <c r="B189" s="125" t="s">
        <v>502</v>
      </c>
      <c r="C189" s="125" t="s">
        <v>504</v>
      </c>
    </row>
    <row r="190" spans="2:3">
      <c r="B190" s="125" t="s">
        <v>503</v>
      </c>
      <c r="C190" s="125" t="s">
        <v>504</v>
      </c>
    </row>
    <row r="191" spans="2:3">
      <c r="B191" s="125" t="s">
        <v>411</v>
      </c>
      <c r="C191" s="125" t="s">
        <v>279</v>
      </c>
    </row>
    <row r="192" spans="2:3">
      <c r="B192" s="125" t="s">
        <v>415</v>
      </c>
      <c r="C192" s="125" t="s">
        <v>279</v>
      </c>
    </row>
    <row r="193" spans="2:3">
      <c r="B193" s="125" t="s">
        <v>422</v>
      </c>
      <c r="C193" s="125" t="s">
        <v>427</v>
      </c>
    </row>
    <row r="194" spans="2:3">
      <c r="B194" s="125" t="s">
        <v>423</v>
      </c>
      <c r="C194" s="125" t="s">
        <v>427</v>
      </c>
    </row>
    <row r="195" spans="2:3">
      <c r="B195" s="125" t="s">
        <v>416</v>
      </c>
      <c r="C195" s="125" t="s">
        <v>283</v>
      </c>
    </row>
    <row r="196" spans="2:3">
      <c r="B196" s="125" t="s">
        <v>418</v>
      </c>
      <c r="C196" s="125" t="s">
        <v>283</v>
      </c>
    </row>
    <row r="197" spans="2:3">
      <c r="B197" s="125" t="s">
        <v>417</v>
      </c>
      <c r="C197" s="125" t="s">
        <v>284</v>
      </c>
    </row>
    <row r="198" spans="2:3">
      <c r="B198" s="125" t="s">
        <v>419</v>
      </c>
      <c r="C198" s="125" t="s">
        <v>284</v>
      </c>
    </row>
    <row r="199" spans="2:3">
      <c r="B199" s="125" t="s">
        <v>457</v>
      </c>
      <c r="C199" s="125" t="s">
        <v>455</v>
      </c>
    </row>
    <row r="200" spans="2:3">
      <c r="B200" s="125" t="s">
        <v>456</v>
      </c>
      <c r="C200" s="125" t="s">
        <v>455</v>
      </c>
    </row>
    <row r="202" spans="2:3">
      <c r="B202" s="125" t="s">
        <v>274</v>
      </c>
      <c r="C202" s="125" t="s">
        <v>274</v>
      </c>
    </row>
    <row r="204" spans="2:3">
      <c r="B204" s="125" t="s">
        <v>426</v>
      </c>
      <c r="C204" s="125" t="s">
        <v>271</v>
      </c>
    </row>
    <row r="205" spans="2:3">
      <c r="B205" s="125" t="s">
        <v>420</v>
      </c>
      <c r="C205" s="125" t="s">
        <v>271</v>
      </c>
    </row>
    <row r="207" spans="2:3">
      <c r="B207" t="s">
        <v>932</v>
      </c>
      <c r="C207" s="125" t="s">
        <v>281</v>
      </c>
    </row>
    <row r="208" spans="2:3">
      <c r="B208" t="s">
        <v>933</v>
      </c>
      <c r="C208" s="125" t="s">
        <v>281</v>
      </c>
    </row>
    <row r="209" spans="2:4">
      <c r="B209" s="125" t="s">
        <v>96</v>
      </c>
      <c r="C209" s="125" t="s">
        <v>96</v>
      </c>
    </row>
    <row r="210" spans="2:4">
      <c r="B210" s="125" t="s">
        <v>441</v>
      </c>
      <c r="C210" s="125" t="s">
        <v>449</v>
      </c>
    </row>
    <row r="211" spans="2:4">
      <c r="B211" s="125" t="s">
        <v>450</v>
      </c>
      <c r="C211" s="125" t="s">
        <v>449</v>
      </c>
    </row>
    <row r="212" spans="2:4">
      <c r="B212" s="125" t="s">
        <v>93</v>
      </c>
      <c r="C212" s="125" t="s">
        <v>93</v>
      </c>
    </row>
    <row r="213" spans="2:4">
      <c r="B213" s="125" t="s">
        <v>186</v>
      </c>
      <c r="C213" s="125" t="s">
        <v>186</v>
      </c>
    </row>
    <row r="215" spans="2:4">
      <c r="B215" s="125" t="s">
        <v>169</v>
      </c>
      <c r="C215" s="125" t="s">
        <v>231</v>
      </c>
      <c r="D215" s="125">
        <v>20</v>
      </c>
    </row>
    <row r="216" spans="2:4">
      <c r="B216" s="125" t="s">
        <v>170</v>
      </c>
      <c r="C216" s="125" t="s">
        <v>231</v>
      </c>
      <c r="D216" s="125">
        <v>30</v>
      </c>
    </row>
    <row r="217" spans="2:4">
      <c r="B217" s="125" t="s">
        <v>171</v>
      </c>
      <c r="C217" s="125" t="s">
        <v>231</v>
      </c>
      <c r="D217" s="125">
        <v>40</v>
      </c>
    </row>
    <row r="218" spans="2:4">
      <c r="B218" s="125" t="s">
        <v>172</v>
      </c>
      <c r="C218" s="125" t="s">
        <v>231</v>
      </c>
      <c r="D218" s="125">
        <v>50</v>
      </c>
    </row>
    <row r="219" spans="2:4">
      <c r="B219" s="125" t="s">
        <v>173</v>
      </c>
      <c r="C219" s="125" t="s">
        <v>231</v>
      </c>
      <c r="D219" s="125">
        <v>60</v>
      </c>
    </row>
    <row r="220" spans="2:4">
      <c r="B220" s="125" t="s">
        <v>174</v>
      </c>
      <c r="C220" s="125" t="s">
        <v>231</v>
      </c>
      <c r="D220" s="125">
        <v>70</v>
      </c>
    </row>
    <row r="221" spans="2:4">
      <c r="B221" s="125" t="s">
        <v>175</v>
      </c>
      <c r="C221" s="125" t="s">
        <v>231</v>
      </c>
      <c r="D221" s="125">
        <v>80</v>
      </c>
    </row>
    <row r="223" spans="2:4">
      <c r="B223" s="125" t="s">
        <v>704</v>
      </c>
      <c r="C223" s="125" t="s">
        <v>706</v>
      </c>
    </row>
    <row r="224" spans="2:4">
      <c r="B224" s="125" t="s">
        <v>705</v>
      </c>
      <c r="C224" s="125" t="s">
        <v>706</v>
      </c>
    </row>
    <row r="225" spans="2:3">
      <c r="B225" s="125" t="s">
        <v>203</v>
      </c>
      <c r="C225" s="125" t="s">
        <v>15</v>
      </c>
    </row>
    <row r="226" spans="2:3">
      <c r="B226" s="125" t="s">
        <v>204</v>
      </c>
      <c r="C226" s="125" t="s">
        <v>16</v>
      </c>
    </row>
    <row r="228" spans="2:3">
      <c r="B228" s="125" t="s">
        <v>297</v>
      </c>
      <c r="C228" s="125" t="s">
        <v>305</v>
      </c>
    </row>
    <row r="229" spans="2:3">
      <c r="B229" s="125" t="s">
        <v>298</v>
      </c>
      <c r="C229" s="125" t="s">
        <v>305</v>
      </c>
    </row>
    <row r="231" spans="2:3">
      <c r="B231" s="125" t="s">
        <v>844</v>
      </c>
      <c r="C231" s="125" t="s">
        <v>844</v>
      </c>
    </row>
    <row r="232" spans="2:3">
      <c r="B232" s="125" t="s">
        <v>537</v>
      </c>
      <c r="C232" s="125" t="s">
        <v>313</v>
      </c>
    </row>
    <row r="233" spans="2:3">
      <c r="B233" s="125" t="s">
        <v>538</v>
      </c>
      <c r="C233" s="125" t="s">
        <v>370</v>
      </c>
    </row>
    <row r="234" spans="2:3">
      <c r="B234" s="125" t="s">
        <v>539</v>
      </c>
      <c r="C234" s="125" t="s">
        <v>370</v>
      </c>
    </row>
    <row r="236" spans="2:3">
      <c r="B236" s="125" t="s">
        <v>379</v>
      </c>
      <c r="C236" s="125" t="s">
        <v>379</v>
      </c>
    </row>
    <row r="238" spans="2:3">
      <c r="B238" s="125" t="s">
        <v>406</v>
      </c>
      <c r="C238" s="125" t="s">
        <v>424</v>
      </c>
    </row>
    <row r="239" spans="2:3">
      <c r="B239" s="125" t="s">
        <v>407</v>
      </c>
      <c r="C239" s="125" t="s">
        <v>424</v>
      </c>
    </row>
    <row r="241" spans="2:3">
      <c r="B241" s="125" t="s">
        <v>98</v>
      </c>
      <c r="C241" s="125" t="s">
        <v>98</v>
      </c>
    </row>
    <row r="243" spans="2:3">
      <c r="B243" s="125" t="s">
        <v>435</v>
      </c>
      <c r="C243" s="125" t="s">
        <v>434</v>
      </c>
    </row>
    <row r="244" spans="2:3">
      <c r="B244" s="125" t="s">
        <v>436</v>
      </c>
      <c r="C244" s="125" t="s">
        <v>434</v>
      </c>
    </row>
    <row r="245" spans="2:3">
      <c r="B245" s="125" t="s">
        <v>431</v>
      </c>
      <c r="C245" s="125" t="s">
        <v>431</v>
      </c>
    </row>
    <row r="246" spans="2:3">
      <c r="B246" s="125" t="s">
        <v>432</v>
      </c>
      <c r="C246" s="125" t="s">
        <v>432</v>
      </c>
    </row>
  </sheetData>
  <pageMargins left="0.7" right="0.7" top="0.75" bottom="0.75" header="0.3" footer="0.3"/>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sheetPr>
  <dimension ref="A1:D12"/>
  <sheetViews>
    <sheetView topLeftCell="A7" workbookViewId="0">
      <selection activeCell="B14" sqref="B14"/>
    </sheetView>
  </sheetViews>
  <sheetFormatPr baseColWidth="10" defaultColWidth="11.453125" defaultRowHeight="10.5"/>
  <cols>
    <col min="1" max="1" width="25.26953125" style="36" customWidth="1"/>
    <col min="2" max="2" width="86.7265625" style="36" customWidth="1"/>
    <col min="3" max="3" width="74.54296875" style="36" customWidth="1"/>
    <col min="4" max="4" width="60" style="36" customWidth="1"/>
    <col min="5" max="15" width="20.7265625" style="36" customWidth="1"/>
    <col min="16" max="16384" width="11.453125" style="36"/>
  </cols>
  <sheetData>
    <row r="1" spans="1:4" ht="12">
      <c r="A1" s="52" t="s">
        <v>269</v>
      </c>
      <c r="B1" s="79" t="s">
        <v>303</v>
      </c>
      <c r="C1" s="79" t="s">
        <v>304</v>
      </c>
      <c r="D1" s="79" t="s">
        <v>489</v>
      </c>
    </row>
    <row r="2" spans="1:4" ht="84">
      <c r="A2" s="37" t="s">
        <v>708</v>
      </c>
      <c r="B2" s="47" t="s">
        <v>775</v>
      </c>
      <c r="C2" s="47" t="s">
        <v>794</v>
      </c>
      <c r="D2" s="47" t="s">
        <v>793</v>
      </c>
    </row>
    <row r="3" spans="1:4" ht="96.5">
      <c r="A3" s="37" t="s">
        <v>515</v>
      </c>
      <c r="B3" s="47" t="s">
        <v>776</v>
      </c>
      <c r="C3" s="47" t="s">
        <v>784</v>
      </c>
      <c r="D3" s="47" t="s">
        <v>792</v>
      </c>
    </row>
    <row r="4" spans="1:4" ht="42">
      <c r="A4" s="37" t="s">
        <v>516</v>
      </c>
      <c r="B4" s="47" t="s">
        <v>777</v>
      </c>
      <c r="C4" s="47" t="s">
        <v>783</v>
      </c>
    </row>
    <row r="5" spans="1:4" ht="12">
      <c r="A5" s="52" t="s">
        <v>270</v>
      </c>
      <c r="B5" s="154" t="s">
        <v>10</v>
      </c>
      <c r="C5" s="154" t="s">
        <v>92</v>
      </c>
      <c r="D5" s="154" t="s">
        <v>505</v>
      </c>
    </row>
    <row r="6" spans="1:4" ht="73.5">
      <c r="A6" s="37" t="s">
        <v>791</v>
      </c>
      <c r="B6" s="47" t="s">
        <v>779</v>
      </c>
      <c r="C6" s="47" t="s">
        <v>778</v>
      </c>
      <c r="D6" s="47" t="s">
        <v>785</v>
      </c>
    </row>
    <row r="7" spans="1:4" ht="84">
      <c r="A7" s="37" t="s">
        <v>789</v>
      </c>
      <c r="B7" s="47" t="s">
        <v>781</v>
      </c>
      <c r="C7" s="41"/>
    </row>
    <row r="8" spans="1:4" ht="105">
      <c r="A8" s="37" t="s">
        <v>790</v>
      </c>
      <c r="B8" s="57" t="s">
        <v>782</v>
      </c>
      <c r="C8" s="41"/>
    </row>
    <row r="9" spans="1:4" ht="31.5">
      <c r="A9" s="37" t="s">
        <v>788</v>
      </c>
      <c r="B9" s="57" t="s">
        <v>780</v>
      </c>
    </row>
    <row r="10" spans="1:4" ht="115.5">
      <c r="A10" s="37" t="s">
        <v>787</v>
      </c>
      <c r="B10" s="57"/>
      <c r="C10" s="57" t="s">
        <v>786</v>
      </c>
    </row>
    <row r="11" spans="1:4" ht="120.75" customHeight="1">
      <c r="A11" s="37" t="s">
        <v>492</v>
      </c>
      <c r="B11" s="47" t="s">
        <v>852</v>
      </c>
      <c r="C11" s="47"/>
    </row>
    <row r="12" spans="1:4" ht="57" customHeight="1">
      <c r="B12" s="58"/>
    </row>
  </sheetData>
  <pageMargins left="0.7" right="0.7" top="0.75" bottom="0.75" header="0.3" footer="0.3"/>
  <pageSetup paperSize="9"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sheetPr>
  <dimension ref="A1:D28"/>
  <sheetViews>
    <sheetView topLeftCell="A13" zoomScaleNormal="100" workbookViewId="0">
      <selection activeCell="D22" sqref="D22"/>
    </sheetView>
  </sheetViews>
  <sheetFormatPr baseColWidth="10" defaultColWidth="11.453125" defaultRowHeight="10.5"/>
  <cols>
    <col min="1" max="1" width="21.453125" style="36" customWidth="1"/>
    <col min="2" max="2" width="21.26953125" style="58" customWidth="1"/>
    <col min="3" max="3" width="94.26953125" style="36" customWidth="1"/>
    <col min="4" max="4" width="89.81640625" style="36" customWidth="1"/>
    <col min="5" max="13" width="20.7265625" style="36" customWidth="1"/>
    <col min="14" max="16384" width="11.453125" style="36"/>
  </cols>
  <sheetData>
    <row r="1" spans="1:4" ht="12">
      <c r="A1" s="52" t="s">
        <v>272</v>
      </c>
      <c r="B1" s="59" t="s">
        <v>273</v>
      </c>
      <c r="C1" s="52" t="s">
        <v>303</v>
      </c>
      <c r="D1" s="52" t="s">
        <v>308</v>
      </c>
    </row>
    <row r="2" spans="1:4" ht="102.75" customHeight="1">
      <c r="A2" s="60" t="s">
        <v>528</v>
      </c>
      <c r="B2" s="61" t="s">
        <v>275</v>
      </c>
      <c r="C2" s="47" t="s">
        <v>815</v>
      </c>
      <c r="D2" s="47" t="s">
        <v>817</v>
      </c>
    </row>
    <row r="3" spans="1:4" ht="86">
      <c r="A3" s="60" t="s">
        <v>795</v>
      </c>
      <c r="B3" s="61" t="s">
        <v>275</v>
      </c>
      <c r="C3" s="47" t="s">
        <v>814</v>
      </c>
      <c r="D3" s="47" t="s">
        <v>816</v>
      </c>
    </row>
    <row r="4" spans="1:4" ht="52.5">
      <c r="A4" s="60" t="s">
        <v>796</v>
      </c>
      <c r="B4" s="61" t="s">
        <v>277</v>
      </c>
      <c r="C4" s="48" t="s">
        <v>858</v>
      </c>
    </row>
    <row r="5" spans="1:4" ht="42">
      <c r="A5" s="60" t="s">
        <v>797</v>
      </c>
      <c r="B5" s="61" t="s">
        <v>277</v>
      </c>
      <c r="C5" s="48" t="s">
        <v>813</v>
      </c>
    </row>
    <row r="6" spans="1:4" ht="60" customHeight="1">
      <c r="A6" s="60" t="s">
        <v>798</v>
      </c>
      <c r="B6" s="61" t="s">
        <v>277</v>
      </c>
      <c r="C6" s="48" t="s">
        <v>812</v>
      </c>
    </row>
    <row r="7" spans="1:4" ht="42">
      <c r="A7" s="60" t="s">
        <v>799</v>
      </c>
      <c r="B7" s="61" t="s">
        <v>277</v>
      </c>
      <c r="C7" s="48" t="s">
        <v>811</v>
      </c>
    </row>
    <row r="8" spans="1:4" ht="52.5">
      <c r="A8" s="60" t="s">
        <v>800</v>
      </c>
      <c r="B8" s="61" t="s">
        <v>277</v>
      </c>
      <c r="C8" s="47" t="s">
        <v>810</v>
      </c>
    </row>
    <row r="9" spans="1:4" ht="31.5">
      <c r="A9" s="60" t="s">
        <v>801</v>
      </c>
      <c r="B9" s="61" t="s">
        <v>277</v>
      </c>
      <c r="C9" s="47" t="s">
        <v>809</v>
      </c>
    </row>
    <row r="10" spans="1:4" ht="52.5">
      <c r="A10" s="62" t="s">
        <v>279</v>
      </c>
      <c r="B10" s="61" t="s">
        <v>277</v>
      </c>
      <c r="C10" s="47" t="s">
        <v>808</v>
      </c>
    </row>
    <row r="11" spans="1:4" ht="69" customHeight="1">
      <c r="A11" s="62" t="s">
        <v>802</v>
      </c>
      <c r="B11" s="61" t="s">
        <v>277</v>
      </c>
      <c r="C11" s="47" t="s">
        <v>807</v>
      </c>
    </row>
    <row r="12" spans="1:4" ht="84">
      <c r="A12" s="63" t="s">
        <v>789</v>
      </c>
      <c r="B12" s="61"/>
      <c r="C12" s="47" t="s">
        <v>806</v>
      </c>
    </row>
    <row r="13" spans="1:4" ht="84">
      <c r="A13" s="63" t="s">
        <v>790</v>
      </c>
      <c r="B13" s="61"/>
      <c r="C13" s="47" t="s">
        <v>805</v>
      </c>
    </row>
    <row r="14" spans="1:4" ht="63">
      <c r="A14" s="63" t="s">
        <v>788</v>
      </c>
      <c r="B14" s="61" t="s">
        <v>280</v>
      </c>
      <c r="C14" s="64" t="s">
        <v>804</v>
      </c>
    </row>
    <row r="15" spans="1:4" ht="27.75" customHeight="1">
      <c r="A15" s="66" t="s">
        <v>647</v>
      </c>
      <c r="B15" s="61" t="s">
        <v>376</v>
      </c>
      <c r="C15" s="47" t="s">
        <v>803</v>
      </c>
    </row>
    <row r="16" spans="1:4" ht="52.5">
      <c r="A16" s="60" t="s">
        <v>833</v>
      </c>
      <c r="B16" s="61" t="s">
        <v>306</v>
      </c>
      <c r="C16" s="80" t="s">
        <v>818</v>
      </c>
    </row>
    <row r="17" spans="1:4" ht="21">
      <c r="A17" s="60" t="s">
        <v>832</v>
      </c>
      <c r="B17" s="61" t="s">
        <v>282</v>
      </c>
      <c r="C17" s="48" t="s">
        <v>819</v>
      </c>
      <c r="D17" s="58"/>
    </row>
    <row r="18" spans="1:4" ht="21">
      <c r="A18" s="65" t="s">
        <v>831</v>
      </c>
      <c r="B18" s="38" t="s">
        <v>282</v>
      </c>
      <c r="C18" s="48" t="s">
        <v>859</v>
      </c>
    </row>
    <row r="19" spans="1:4" ht="21">
      <c r="A19" s="65" t="s">
        <v>517</v>
      </c>
      <c r="B19" s="38" t="s">
        <v>282</v>
      </c>
      <c r="C19" s="48" t="s">
        <v>820</v>
      </c>
    </row>
    <row r="20" spans="1:4" ht="52.5">
      <c r="A20" s="60" t="s">
        <v>830</v>
      </c>
      <c r="B20" s="61" t="s">
        <v>277</v>
      </c>
      <c r="C20" s="47" t="s">
        <v>821</v>
      </c>
    </row>
    <row r="21" spans="1:4" ht="42">
      <c r="A21" s="66" t="s">
        <v>829</v>
      </c>
      <c r="B21" s="61" t="s">
        <v>277</v>
      </c>
      <c r="C21" s="47" t="s">
        <v>822</v>
      </c>
    </row>
    <row r="22" spans="1:4" ht="42">
      <c r="A22" s="66" t="s">
        <v>828</v>
      </c>
      <c r="B22" s="61" t="s">
        <v>277</v>
      </c>
      <c r="C22" s="47" t="s">
        <v>823</v>
      </c>
    </row>
    <row r="24" spans="1:4" ht="42">
      <c r="A24" s="60" t="s">
        <v>830</v>
      </c>
      <c r="B24" s="61" t="s">
        <v>377</v>
      </c>
      <c r="C24" s="47" t="s">
        <v>824</v>
      </c>
    </row>
    <row r="25" spans="1:4" ht="31.5">
      <c r="A25" s="66" t="s">
        <v>829</v>
      </c>
      <c r="B25" s="61" t="s">
        <v>377</v>
      </c>
      <c r="C25" s="47" t="s">
        <v>378</v>
      </c>
    </row>
    <row r="26" spans="1:4" ht="42">
      <c r="A26" s="66" t="s">
        <v>828</v>
      </c>
      <c r="B26" s="61" t="s">
        <v>377</v>
      </c>
      <c r="C26" s="47" t="s">
        <v>825</v>
      </c>
    </row>
    <row r="27" spans="1:4" ht="65">
      <c r="A27" s="60" t="s">
        <v>530</v>
      </c>
      <c r="B27" s="61" t="s">
        <v>437</v>
      </c>
      <c r="C27" s="47"/>
      <c r="D27" s="47" t="s">
        <v>826</v>
      </c>
    </row>
    <row r="28" spans="1:4" ht="63">
      <c r="A28" s="60" t="s">
        <v>529</v>
      </c>
      <c r="B28" s="61" t="s">
        <v>438</v>
      </c>
      <c r="C28" s="47"/>
      <c r="D28" s="47" t="s">
        <v>827</v>
      </c>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D3"/>
  <sheetViews>
    <sheetView workbookViewId="0"/>
  </sheetViews>
  <sheetFormatPr baseColWidth="10" defaultColWidth="11.453125" defaultRowHeight="10.5"/>
  <cols>
    <col min="1" max="1" width="28.26953125" style="36" bestFit="1" customWidth="1"/>
    <col min="2" max="2" width="97" style="36" customWidth="1"/>
    <col min="3" max="16" width="20.7265625" style="36" customWidth="1"/>
    <col min="17" max="16384" width="11.453125" style="36"/>
  </cols>
  <sheetData>
    <row r="1" spans="1:4" ht="12">
      <c r="A1" s="34" t="s">
        <v>285</v>
      </c>
      <c r="B1" s="35"/>
      <c r="C1" s="41"/>
      <c r="D1" s="41"/>
    </row>
    <row r="2" spans="1:4" ht="61.5" customHeight="1">
      <c r="A2" s="37" t="s">
        <v>286</v>
      </c>
      <c r="B2" s="38" t="s">
        <v>287</v>
      </c>
      <c r="C2" s="41"/>
      <c r="D2" s="41"/>
    </row>
    <row r="3" spans="1:4">
      <c r="A3" s="37" t="s">
        <v>288</v>
      </c>
      <c r="B3" s="38"/>
    </row>
  </sheetData>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C1:AL72"/>
  <sheetViews>
    <sheetView workbookViewId="0">
      <selection activeCell="C24" sqref="C24:D24"/>
    </sheetView>
  </sheetViews>
  <sheetFormatPr baseColWidth="10" defaultColWidth="11.453125" defaultRowHeight="14.5"/>
  <cols>
    <col min="1" max="2" width="2.26953125" customWidth="1"/>
    <col min="3" max="3" width="28.7265625" customWidth="1"/>
    <col min="6" max="6" width="3.7265625" style="2" customWidth="1"/>
    <col min="7" max="7" width="28.26953125" customWidth="1"/>
    <col min="10" max="10" width="4" style="2" customWidth="1"/>
    <col min="11" max="11" width="28.54296875" customWidth="1"/>
    <col min="14" max="14" width="4" style="2" customWidth="1"/>
    <col min="15" max="15" width="28.54296875" customWidth="1"/>
    <col min="18" max="18" width="4" style="2" customWidth="1"/>
    <col min="19" max="19" width="28.54296875" customWidth="1"/>
    <col min="22" max="22" width="4" style="2" customWidth="1"/>
    <col min="23" max="23" width="28.54296875" customWidth="1"/>
    <col min="27" max="27" width="4" style="2" customWidth="1"/>
    <col min="28" max="28" width="31.81640625" customWidth="1"/>
    <col min="31" max="31" width="4" style="2" customWidth="1"/>
    <col min="32" max="32" width="36.26953125" customWidth="1"/>
    <col min="35" max="35" width="4" style="2" customWidth="1"/>
    <col min="36" max="36" width="36.26953125" customWidth="1"/>
  </cols>
  <sheetData>
    <row r="1" spans="3:38" s="3" customFormat="1" ht="2.5" customHeight="1"/>
    <row r="2" spans="3:38" s="3" customFormat="1" hidden="1"/>
    <row r="3" spans="3:38" s="3" customFormat="1" hidden="1">
      <c r="C3" s="4"/>
    </row>
    <row r="4" spans="3:38" s="3" customFormat="1" hidden="1">
      <c r="C4" s="5"/>
    </row>
    <row r="5" spans="3:38" s="3" customFormat="1" hidden="1">
      <c r="C5" s="5"/>
    </row>
    <row r="6" spans="3:38" s="3" customFormat="1" hidden="1">
      <c r="C6" s="518"/>
    </row>
    <row r="7" spans="3:38" s="3" customFormat="1" hidden="1">
      <c r="C7" s="518"/>
    </row>
    <row r="8" spans="3:38" s="3" customFormat="1" hidden="1">
      <c r="C8" s="518"/>
    </row>
    <row r="9" spans="3:38" s="3" customFormat="1" ht="15" hidden="1" thickBot="1">
      <c r="C9" s="519"/>
    </row>
    <row r="10" spans="3:38" s="3" customFormat="1" hidden="1"/>
    <row r="11" spans="3:38" s="3" customFormat="1"/>
    <row r="12" spans="3:38">
      <c r="C12" s="6" t="s">
        <v>3</v>
      </c>
      <c r="D12" s="1" t="s">
        <v>17</v>
      </c>
      <c r="E12" s="1" t="s">
        <v>0</v>
      </c>
      <c r="G12" s="6" t="s">
        <v>6</v>
      </c>
      <c r="H12" s="1" t="s">
        <v>17</v>
      </c>
      <c r="I12" s="1" t="s">
        <v>0</v>
      </c>
      <c r="K12" s="6" t="s">
        <v>89</v>
      </c>
      <c r="L12" s="1" t="s">
        <v>17</v>
      </c>
      <c r="M12" s="1" t="s">
        <v>0</v>
      </c>
      <c r="O12" s="6" t="s">
        <v>90</v>
      </c>
      <c r="P12" s="1" t="s">
        <v>17</v>
      </c>
      <c r="Q12" s="1" t="s">
        <v>0</v>
      </c>
      <c r="S12" s="6" t="s">
        <v>91</v>
      </c>
      <c r="T12" s="1" t="s">
        <v>17</v>
      </c>
      <c r="U12" s="1" t="s">
        <v>0</v>
      </c>
      <c r="W12" s="6" t="s">
        <v>99</v>
      </c>
      <c r="X12" s="1" t="s">
        <v>17</v>
      </c>
      <c r="Y12" s="1" t="s">
        <v>0</v>
      </c>
      <c r="Z12" s="1" t="s">
        <v>97</v>
      </c>
      <c r="AB12" s="6" t="s">
        <v>11</v>
      </c>
      <c r="AC12" s="1" t="s">
        <v>17</v>
      </c>
      <c r="AD12" s="1" t="s">
        <v>0</v>
      </c>
      <c r="AF12" s="6" t="s">
        <v>158</v>
      </c>
      <c r="AG12" s="1" t="s">
        <v>17</v>
      </c>
      <c r="AH12" s="1" t="s">
        <v>0</v>
      </c>
      <c r="AJ12" s="6" t="s">
        <v>122</v>
      </c>
      <c r="AK12" s="1" t="s">
        <v>17</v>
      </c>
      <c r="AL12" s="1" t="s">
        <v>0</v>
      </c>
    </row>
    <row r="13" spans="3:38">
      <c r="C13" t="s">
        <v>4</v>
      </c>
      <c r="D13">
        <v>0.83</v>
      </c>
      <c r="E13" s="8">
        <v>5</v>
      </c>
      <c r="G13" t="s">
        <v>18</v>
      </c>
      <c r="H13">
        <v>3.31</v>
      </c>
      <c r="I13">
        <v>1</v>
      </c>
      <c r="K13" t="s">
        <v>34</v>
      </c>
      <c r="L13">
        <v>0.5242</v>
      </c>
      <c r="M13">
        <v>6</v>
      </c>
      <c r="O13" t="s">
        <v>4</v>
      </c>
      <c r="P13">
        <v>0.83</v>
      </c>
      <c r="Q13" s="8">
        <f>1.5*4</f>
        <v>6</v>
      </c>
      <c r="S13" t="s">
        <v>10</v>
      </c>
      <c r="T13">
        <v>1.82</v>
      </c>
      <c r="U13">
        <v>1.1000000000000001</v>
      </c>
      <c r="W13" t="s">
        <v>94</v>
      </c>
      <c r="X13">
        <f>106.2/14</f>
        <v>7.5857142857142863</v>
      </c>
      <c r="Y13">
        <v>0.3</v>
      </c>
      <c r="Z13" t="s">
        <v>13</v>
      </c>
      <c r="AB13" t="s">
        <v>100</v>
      </c>
      <c r="AC13">
        <f>106.6/25</f>
        <v>4.2639999999999993</v>
      </c>
      <c r="AD13">
        <v>3.5</v>
      </c>
      <c r="AF13" t="s">
        <v>111</v>
      </c>
      <c r="AG13">
        <f>181/14</f>
        <v>12.928571428571429</v>
      </c>
      <c r="AH13">
        <v>0.3</v>
      </c>
      <c r="AJ13" t="s">
        <v>123</v>
      </c>
      <c r="AK13">
        <v>4.07</v>
      </c>
      <c r="AL13">
        <v>1</v>
      </c>
    </row>
    <row r="14" spans="3:38">
      <c r="C14" t="s">
        <v>14</v>
      </c>
      <c r="D14">
        <v>0.90400000000000003</v>
      </c>
      <c r="E14" s="8">
        <v>6</v>
      </c>
      <c r="G14" t="s">
        <v>19</v>
      </c>
      <c r="H14">
        <v>6.63</v>
      </c>
      <c r="I14">
        <v>1</v>
      </c>
      <c r="K14" t="s">
        <v>35</v>
      </c>
      <c r="L14">
        <v>0.55630000000000002</v>
      </c>
      <c r="M14">
        <v>6</v>
      </c>
      <c r="O14" t="s">
        <v>14</v>
      </c>
      <c r="P14">
        <v>0.90400000000000003</v>
      </c>
      <c r="Q14" s="8">
        <v>6</v>
      </c>
      <c r="S14" t="s">
        <v>92</v>
      </c>
      <c r="T14">
        <v>4.83</v>
      </c>
      <c r="U14">
        <v>1.1000000000000001</v>
      </c>
      <c r="W14" t="s">
        <v>95</v>
      </c>
      <c r="X14">
        <f>112.4/14</f>
        <v>8.0285714285714285</v>
      </c>
      <c r="Y14">
        <v>0.3</v>
      </c>
      <c r="Z14" t="s">
        <v>13</v>
      </c>
      <c r="AB14" t="s">
        <v>101</v>
      </c>
      <c r="AC14">
        <f>110.6/25</f>
        <v>4.4239999999999995</v>
      </c>
      <c r="AD14">
        <v>3.5</v>
      </c>
      <c r="AF14" t="s">
        <v>112</v>
      </c>
      <c r="AG14">
        <f>192.6/14</f>
        <v>13.757142857142856</v>
      </c>
      <c r="AH14">
        <v>0.3</v>
      </c>
      <c r="AJ14" t="s">
        <v>124</v>
      </c>
      <c r="AK14">
        <v>4.32</v>
      </c>
      <c r="AL14">
        <v>1</v>
      </c>
    </row>
    <row r="15" spans="3:38">
      <c r="C15" t="s">
        <v>15</v>
      </c>
      <c r="D15">
        <v>1.54</v>
      </c>
      <c r="E15" s="8">
        <v>5</v>
      </c>
      <c r="G15" t="s">
        <v>20</v>
      </c>
      <c r="H15">
        <v>9.94</v>
      </c>
      <c r="I15">
        <v>1</v>
      </c>
      <c r="K15" t="s">
        <v>36</v>
      </c>
      <c r="L15">
        <v>0.57079999999999997</v>
      </c>
      <c r="M15">
        <v>6</v>
      </c>
      <c r="O15" t="s">
        <v>15</v>
      </c>
      <c r="P15">
        <v>1.54</v>
      </c>
      <c r="Q15" s="8">
        <f>1.35*5</f>
        <v>6.75</v>
      </c>
      <c r="S15" t="s">
        <v>185</v>
      </c>
      <c r="T15">
        <v>2.12</v>
      </c>
      <c r="U15">
        <v>1.1000000000000001</v>
      </c>
      <c r="W15" t="s">
        <v>96</v>
      </c>
      <c r="X15">
        <f>150/20</f>
        <v>7.5</v>
      </c>
      <c r="Y15">
        <v>0.2</v>
      </c>
      <c r="Z15" t="s">
        <v>5</v>
      </c>
      <c r="AB15" t="s">
        <v>102</v>
      </c>
      <c r="AC15">
        <f>103/25</f>
        <v>4.12</v>
      </c>
      <c r="AD15">
        <v>2.7</v>
      </c>
      <c r="AF15" t="s">
        <v>113</v>
      </c>
      <c r="AG15">
        <f>180.3/14</f>
        <v>12.87857142857143</v>
      </c>
      <c r="AH15">
        <v>0.3</v>
      </c>
      <c r="AJ15" t="s">
        <v>125</v>
      </c>
      <c r="AK15">
        <v>4.84</v>
      </c>
      <c r="AL15">
        <v>1</v>
      </c>
    </row>
    <row r="16" spans="3:38">
      <c r="C16" t="s">
        <v>16</v>
      </c>
      <c r="D16">
        <v>4.4359999999999999</v>
      </c>
      <c r="E16" s="8">
        <v>5</v>
      </c>
      <c r="G16" t="s">
        <v>21</v>
      </c>
      <c r="H16">
        <v>13.26</v>
      </c>
      <c r="I16">
        <v>1</v>
      </c>
      <c r="K16" t="s">
        <v>37</v>
      </c>
      <c r="L16">
        <v>0.61180000000000001</v>
      </c>
      <c r="M16">
        <v>6</v>
      </c>
      <c r="O16" t="s">
        <v>16</v>
      </c>
      <c r="P16">
        <v>4.4359999999999999</v>
      </c>
      <c r="Q16" s="8">
        <v>4.5</v>
      </c>
      <c r="W16" t="s">
        <v>93</v>
      </c>
      <c r="X16">
        <v>0</v>
      </c>
      <c r="Y16">
        <v>0</v>
      </c>
      <c r="Z16" t="s">
        <v>98</v>
      </c>
      <c r="AB16" t="s">
        <v>103</v>
      </c>
      <c r="AC16">
        <f>106.6</f>
        <v>106.6</v>
      </c>
      <c r="AD16">
        <v>2.7</v>
      </c>
      <c r="AF16" t="s">
        <v>114</v>
      </c>
      <c r="AG16">
        <f>198.3/14</f>
        <v>14.164285714285715</v>
      </c>
      <c r="AH16">
        <v>0.3</v>
      </c>
      <c r="AJ16" t="s">
        <v>126</v>
      </c>
      <c r="AK16">
        <v>6.38</v>
      </c>
      <c r="AL16">
        <v>1</v>
      </c>
    </row>
    <row r="17" spans="3:38">
      <c r="E17" s="8"/>
      <c r="G17" t="s">
        <v>22</v>
      </c>
      <c r="H17">
        <v>16.57</v>
      </c>
      <c r="I17">
        <v>1</v>
      </c>
      <c r="K17" t="s">
        <v>38</v>
      </c>
      <c r="L17">
        <v>0.68559999999999999</v>
      </c>
      <c r="M17">
        <v>6</v>
      </c>
      <c r="Q17" s="8"/>
      <c r="S17" t="s">
        <v>205</v>
      </c>
      <c r="T17">
        <v>1.82</v>
      </c>
      <c r="U17">
        <v>2.2000000000000002</v>
      </c>
      <c r="W17" t="s">
        <v>186</v>
      </c>
      <c r="X17">
        <v>8.39</v>
      </c>
      <c r="Y17">
        <v>0.2</v>
      </c>
      <c r="Z17" t="s">
        <v>5</v>
      </c>
      <c r="AB17" t="s">
        <v>12</v>
      </c>
      <c r="AC17">
        <f>111/25</f>
        <v>4.4400000000000004</v>
      </c>
      <c r="AD17">
        <v>2</v>
      </c>
      <c r="AF17" t="s">
        <v>98</v>
      </c>
      <c r="AG17">
        <v>0</v>
      </c>
      <c r="AH17">
        <v>0</v>
      </c>
      <c r="AJ17" t="s">
        <v>127</v>
      </c>
      <c r="AK17">
        <v>7.36</v>
      </c>
      <c r="AL17">
        <v>1</v>
      </c>
    </row>
    <row r="18" spans="3:38">
      <c r="C18" s="3"/>
      <c r="D18" s="3"/>
      <c r="E18" s="3"/>
      <c r="G18" t="s">
        <v>23</v>
      </c>
      <c r="H18">
        <v>19.89</v>
      </c>
      <c r="I18">
        <v>1</v>
      </c>
      <c r="K18" t="s">
        <v>39</v>
      </c>
      <c r="L18">
        <v>0.79979999999999996</v>
      </c>
      <c r="M18">
        <v>6</v>
      </c>
      <c r="O18" t="s">
        <v>201</v>
      </c>
      <c r="P18">
        <v>0.83</v>
      </c>
      <c r="Q18" s="8">
        <f>1.5*4</f>
        <v>6</v>
      </c>
      <c r="AB18" t="s">
        <v>104</v>
      </c>
      <c r="AC18">
        <f>115.2/25</f>
        <v>4.6080000000000005</v>
      </c>
      <c r="AD18">
        <v>2</v>
      </c>
      <c r="AF18" t="s">
        <v>159</v>
      </c>
      <c r="AG18">
        <v>5.4749999999999996</v>
      </c>
      <c r="AH18">
        <v>0.3</v>
      </c>
      <c r="AJ18" t="s">
        <v>128</v>
      </c>
      <c r="AK18">
        <v>8.1</v>
      </c>
      <c r="AL18">
        <v>1</v>
      </c>
    </row>
    <row r="19" spans="3:38">
      <c r="C19" s="3"/>
      <c r="D19" s="3"/>
      <c r="E19" s="3"/>
      <c r="G19" t="s">
        <v>24</v>
      </c>
      <c r="H19">
        <v>23.2</v>
      </c>
      <c r="I19">
        <v>1</v>
      </c>
      <c r="O19" t="s">
        <v>202</v>
      </c>
      <c r="P19">
        <v>0.90400000000000003</v>
      </c>
      <c r="Q19" s="8">
        <v>6</v>
      </c>
      <c r="AB19" t="s">
        <v>105</v>
      </c>
      <c r="AC19">
        <f>112.9/25</f>
        <v>4.516</v>
      </c>
      <c r="AD19">
        <v>1.75</v>
      </c>
      <c r="AF19" t="s">
        <v>176</v>
      </c>
      <c r="AG19">
        <v>0.60340000000000005</v>
      </c>
      <c r="AH19">
        <v>6</v>
      </c>
      <c r="AJ19" t="s">
        <v>129</v>
      </c>
      <c r="AK19">
        <v>9.17</v>
      </c>
      <c r="AL19">
        <v>1</v>
      </c>
    </row>
    <row r="20" spans="3:38">
      <c r="C20" s="3"/>
      <c r="D20" s="3"/>
      <c r="E20" s="3"/>
      <c r="G20" t="s">
        <v>25</v>
      </c>
      <c r="H20">
        <v>26.51</v>
      </c>
      <c r="I20">
        <v>1</v>
      </c>
      <c r="K20" t="s">
        <v>40</v>
      </c>
      <c r="L20">
        <v>0.34620000000000001</v>
      </c>
      <c r="M20">
        <v>6</v>
      </c>
      <c r="O20" t="s">
        <v>203</v>
      </c>
      <c r="P20">
        <v>1.54</v>
      </c>
      <c r="Q20" s="8">
        <f>1.35*5</f>
        <v>6.75</v>
      </c>
      <c r="AB20" t="s">
        <v>106</v>
      </c>
      <c r="AC20">
        <f>116.4</f>
        <v>116.4</v>
      </c>
      <c r="AD20">
        <v>1.75</v>
      </c>
      <c r="AJ20" t="s">
        <v>130</v>
      </c>
      <c r="AK20">
        <v>12.03</v>
      </c>
      <c r="AL20">
        <v>1</v>
      </c>
    </row>
    <row r="21" spans="3:38">
      <c r="C21" s="3"/>
      <c r="D21" s="3"/>
      <c r="E21" s="3"/>
      <c r="K21" t="s">
        <v>41</v>
      </c>
      <c r="L21">
        <v>0.34849999999999998</v>
      </c>
      <c r="M21">
        <v>6</v>
      </c>
      <c r="O21" t="s">
        <v>204</v>
      </c>
      <c r="P21">
        <v>4.4359999999999999</v>
      </c>
      <c r="Q21" s="8">
        <v>4.5</v>
      </c>
      <c r="AB21" t="s">
        <v>107</v>
      </c>
      <c r="AC21">
        <f>115.7/25</f>
        <v>4.6280000000000001</v>
      </c>
      <c r="AD21">
        <v>1.5</v>
      </c>
      <c r="AJ21" t="s">
        <v>131</v>
      </c>
      <c r="AK21">
        <v>14.92</v>
      </c>
      <c r="AL21">
        <v>1</v>
      </c>
    </row>
    <row r="22" spans="3:38">
      <c r="G22" t="s">
        <v>26</v>
      </c>
      <c r="H22">
        <v>3.6</v>
      </c>
      <c r="I22">
        <v>1</v>
      </c>
      <c r="K22" t="s">
        <v>42</v>
      </c>
      <c r="L22">
        <v>0.36480000000000001</v>
      </c>
      <c r="M22">
        <v>6</v>
      </c>
      <c r="AB22" t="s">
        <v>108</v>
      </c>
      <c r="AC22">
        <f>120/25</f>
        <v>4.8</v>
      </c>
      <c r="AD22">
        <v>1.5</v>
      </c>
      <c r="AJ22" t="s">
        <v>132</v>
      </c>
      <c r="AK22">
        <v>9.56</v>
      </c>
      <c r="AL22">
        <v>1</v>
      </c>
    </row>
    <row r="23" spans="3:38">
      <c r="G23" t="s">
        <v>27</v>
      </c>
      <c r="H23">
        <v>7.2</v>
      </c>
      <c r="I23">
        <v>1</v>
      </c>
      <c r="K23" t="s">
        <v>43</v>
      </c>
      <c r="L23">
        <v>0.38569999999999999</v>
      </c>
      <c r="M23">
        <v>6</v>
      </c>
      <c r="AB23" t="s">
        <v>109</v>
      </c>
      <c r="AC23">
        <f>115.4/25</f>
        <v>4.6160000000000005</v>
      </c>
      <c r="AD23">
        <v>2</v>
      </c>
      <c r="AJ23" t="s">
        <v>133</v>
      </c>
      <c r="AK23">
        <v>7.03</v>
      </c>
      <c r="AL23">
        <v>1</v>
      </c>
    </row>
    <row r="24" spans="3:38">
      <c r="G24" t="s">
        <v>28</v>
      </c>
      <c r="H24">
        <v>10.8</v>
      </c>
      <c r="I24">
        <v>1</v>
      </c>
      <c r="K24" t="s">
        <v>44</v>
      </c>
      <c r="L24">
        <v>0.40500000000000003</v>
      </c>
      <c r="M24">
        <v>6</v>
      </c>
      <c r="AB24" t="s">
        <v>110</v>
      </c>
      <c r="AC24">
        <f>126/25</f>
        <v>5.04</v>
      </c>
      <c r="AD24">
        <v>2</v>
      </c>
      <c r="AJ24" t="s">
        <v>134</v>
      </c>
      <c r="AK24">
        <v>11.04</v>
      </c>
      <c r="AL24">
        <v>1</v>
      </c>
    </row>
    <row r="25" spans="3:38">
      <c r="G25" t="s">
        <v>29</v>
      </c>
      <c r="H25">
        <v>14.4</v>
      </c>
      <c r="I25">
        <v>1</v>
      </c>
      <c r="K25" t="s">
        <v>45</v>
      </c>
      <c r="L25">
        <v>0.4461</v>
      </c>
      <c r="M25">
        <v>6</v>
      </c>
      <c r="AJ25" t="s">
        <v>135</v>
      </c>
      <c r="AK25">
        <v>11.04</v>
      </c>
      <c r="AL25">
        <v>1</v>
      </c>
    </row>
    <row r="26" spans="3:38">
      <c r="G26" t="s">
        <v>32</v>
      </c>
      <c r="H26">
        <v>18</v>
      </c>
      <c r="I26">
        <v>1</v>
      </c>
      <c r="K26" t="s">
        <v>46</v>
      </c>
      <c r="L26">
        <v>0.54169999999999996</v>
      </c>
      <c r="M26">
        <v>6</v>
      </c>
      <c r="AJ26" t="s">
        <v>136</v>
      </c>
      <c r="AK26">
        <v>13.08</v>
      </c>
      <c r="AL26">
        <v>1</v>
      </c>
    </row>
    <row r="27" spans="3:38">
      <c r="G27" t="s">
        <v>30</v>
      </c>
      <c r="H27">
        <v>21.6</v>
      </c>
      <c r="I27">
        <v>1</v>
      </c>
      <c r="K27" t="s">
        <v>47</v>
      </c>
      <c r="L27">
        <v>0.67179999999999995</v>
      </c>
      <c r="M27">
        <v>6</v>
      </c>
      <c r="AB27" t="s">
        <v>115</v>
      </c>
      <c r="AC27">
        <f>273.6/16</f>
        <v>17.100000000000001</v>
      </c>
      <c r="AD27">
        <v>1</v>
      </c>
      <c r="AJ27" t="s">
        <v>137</v>
      </c>
      <c r="AK27">
        <v>13.08</v>
      </c>
      <c r="AL27">
        <v>1</v>
      </c>
    </row>
    <row r="28" spans="3:38">
      <c r="G28" t="s">
        <v>33</v>
      </c>
      <c r="H28">
        <v>25.2</v>
      </c>
      <c r="I28">
        <v>1</v>
      </c>
      <c r="K28" t="s">
        <v>48</v>
      </c>
      <c r="L28">
        <v>0.82540000000000002</v>
      </c>
      <c r="M28">
        <v>6</v>
      </c>
      <c r="AB28" t="s">
        <v>116</v>
      </c>
      <c r="AC28">
        <f>301/16</f>
        <v>18.8125</v>
      </c>
      <c r="AD28">
        <v>1</v>
      </c>
      <c r="AJ28" t="s">
        <v>142</v>
      </c>
      <c r="AK28">
        <v>4.07</v>
      </c>
      <c r="AL28">
        <v>1</v>
      </c>
    </row>
    <row r="29" spans="3:38">
      <c r="G29" t="s">
        <v>31</v>
      </c>
      <c r="H29">
        <v>28.8</v>
      </c>
      <c r="I29">
        <v>1</v>
      </c>
      <c r="AJ29" t="s">
        <v>138</v>
      </c>
      <c r="AK29">
        <v>1.28</v>
      </c>
      <c r="AL29">
        <v>1</v>
      </c>
    </row>
    <row r="30" spans="3:38">
      <c r="K30" t="s">
        <v>49</v>
      </c>
      <c r="L30">
        <v>0.7651</v>
      </c>
      <c r="M30">
        <v>6</v>
      </c>
      <c r="AB30" t="s">
        <v>163</v>
      </c>
      <c r="AC30">
        <v>3.95</v>
      </c>
      <c r="AD30">
        <f>1.4*3</f>
        <v>4.1999999999999993</v>
      </c>
      <c r="AJ30" t="s">
        <v>139</v>
      </c>
      <c r="AK30">
        <v>5.08</v>
      </c>
      <c r="AL30">
        <v>1</v>
      </c>
    </row>
    <row r="31" spans="3:38">
      <c r="G31" t="s">
        <v>60</v>
      </c>
      <c r="H31">
        <v>10.34</v>
      </c>
      <c r="I31">
        <v>1</v>
      </c>
      <c r="K31" t="s">
        <v>50</v>
      </c>
      <c r="L31">
        <v>0.87839999999999996</v>
      </c>
      <c r="M31">
        <v>6</v>
      </c>
      <c r="AB31" t="s">
        <v>164</v>
      </c>
      <c r="AC31">
        <v>4.24</v>
      </c>
      <c r="AD31">
        <f>1.4*3</f>
        <v>4.1999999999999993</v>
      </c>
      <c r="AJ31" t="s">
        <v>140</v>
      </c>
      <c r="AK31">
        <v>7.38</v>
      </c>
      <c r="AL31">
        <v>1</v>
      </c>
    </row>
    <row r="32" spans="3:38">
      <c r="G32" t="s">
        <v>61</v>
      </c>
      <c r="H32">
        <v>15.52</v>
      </c>
      <c r="I32">
        <v>1</v>
      </c>
      <c r="K32" t="s">
        <v>51</v>
      </c>
      <c r="L32">
        <v>1.0705</v>
      </c>
      <c r="M32">
        <v>6</v>
      </c>
      <c r="AJ32" t="s">
        <v>98</v>
      </c>
      <c r="AK32">
        <v>0</v>
      </c>
    </row>
    <row r="33" spans="7:30">
      <c r="G33" t="s">
        <v>62</v>
      </c>
      <c r="H33">
        <v>20.69</v>
      </c>
      <c r="I33">
        <v>1</v>
      </c>
      <c r="K33" t="s">
        <v>52</v>
      </c>
      <c r="L33">
        <v>1.2228000000000001</v>
      </c>
      <c r="M33">
        <v>6</v>
      </c>
      <c r="AB33" t="s">
        <v>167</v>
      </c>
      <c r="AC33">
        <v>0.65600000000000003</v>
      </c>
      <c r="AD33">
        <v>18</v>
      </c>
    </row>
    <row r="34" spans="7:30">
      <c r="G34" t="s">
        <v>63</v>
      </c>
      <c r="H34">
        <v>25.86</v>
      </c>
      <c r="I34">
        <v>1</v>
      </c>
      <c r="K34" t="s">
        <v>53</v>
      </c>
      <c r="L34">
        <v>1.4787999999999999</v>
      </c>
      <c r="M34">
        <v>6</v>
      </c>
      <c r="AB34" t="s">
        <v>168</v>
      </c>
      <c r="AC34">
        <v>0.72</v>
      </c>
      <c r="AD34">
        <v>18</v>
      </c>
    </row>
    <row r="36" spans="7:30" ht="16.5">
      <c r="G36" t="s">
        <v>68</v>
      </c>
      <c r="H36">
        <v>21.64</v>
      </c>
      <c r="I36">
        <v>1</v>
      </c>
      <c r="K36" t="s">
        <v>54</v>
      </c>
      <c r="L36">
        <v>0.72099999999999997</v>
      </c>
      <c r="M36">
        <v>6</v>
      </c>
      <c r="AB36" t="s">
        <v>187</v>
      </c>
      <c r="AC36">
        <v>1.204</v>
      </c>
      <c r="AD36">
        <v>5.5</v>
      </c>
    </row>
    <row r="37" spans="7:30" ht="16.5">
      <c r="G37" t="s">
        <v>69</v>
      </c>
      <c r="H37">
        <v>34.58</v>
      </c>
      <c r="I37">
        <v>1</v>
      </c>
      <c r="K37" t="s">
        <v>55</v>
      </c>
      <c r="L37">
        <v>0.80630000000000002</v>
      </c>
      <c r="M37">
        <v>6</v>
      </c>
      <c r="AB37" t="s">
        <v>188</v>
      </c>
      <c r="AC37">
        <v>1.1719999999999999</v>
      </c>
      <c r="AD37">
        <v>5.5</v>
      </c>
    </row>
    <row r="38" spans="7:30" ht="16.5">
      <c r="G38" t="s">
        <v>70</v>
      </c>
      <c r="H38">
        <v>51.78</v>
      </c>
      <c r="I38">
        <v>1</v>
      </c>
      <c r="K38" t="s">
        <v>56</v>
      </c>
      <c r="L38">
        <v>0.90300000000000002</v>
      </c>
      <c r="M38">
        <v>6</v>
      </c>
      <c r="AB38" t="s">
        <v>189</v>
      </c>
      <c r="AC38">
        <v>0.63200000000000001</v>
      </c>
      <c r="AD38">
        <v>6</v>
      </c>
    </row>
    <row r="39" spans="7:30" ht="16.5">
      <c r="G39" t="s">
        <v>71</v>
      </c>
      <c r="H39">
        <v>69.09</v>
      </c>
      <c r="I39">
        <v>1</v>
      </c>
      <c r="K39" t="s">
        <v>57</v>
      </c>
      <c r="L39">
        <v>1.0288999999999999</v>
      </c>
      <c r="M39">
        <v>6</v>
      </c>
      <c r="AB39" t="s">
        <v>190</v>
      </c>
      <c r="AC39">
        <v>0.58399999999999996</v>
      </c>
      <c r="AD39">
        <v>6</v>
      </c>
    </row>
    <row r="40" spans="7:30" ht="16.5">
      <c r="G40" t="s">
        <v>72</v>
      </c>
      <c r="H40">
        <v>86.4</v>
      </c>
      <c r="I40">
        <v>1</v>
      </c>
      <c r="K40" t="s">
        <v>58</v>
      </c>
      <c r="L40">
        <v>1.2098</v>
      </c>
      <c r="M40">
        <v>6</v>
      </c>
      <c r="AB40" t="s">
        <v>192</v>
      </c>
      <c r="AC40">
        <v>1.04</v>
      </c>
      <c r="AD40">
        <v>6</v>
      </c>
    </row>
    <row r="41" spans="7:30" ht="16.5">
      <c r="G41" t="s">
        <v>73</v>
      </c>
      <c r="H41">
        <v>103.71</v>
      </c>
      <c r="I41">
        <v>1</v>
      </c>
      <c r="K41" t="s">
        <v>59</v>
      </c>
      <c r="L41">
        <v>1.331</v>
      </c>
      <c r="M41">
        <v>6</v>
      </c>
      <c r="AB41" t="s">
        <v>198</v>
      </c>
      <c r="AC41">
        <v>1.38</v>
      </c>
      <c r="AD41">
        <v>5.4</v>
      </c>
    </row>
    <row r="42" spans="7:30" ht="16.5">
      <c r="G42" t="s">
        <v>74</v>
      </c>
      <c r="H42">
        <v>120.47</v>
      </c>
      <c r="I42">
        <v>1</v>
      </c>
      <c r="AB42" t="s">
        <v>191</v>
      </c>
      <c r="AC42">
        <v>1.4239999999999999</v>
      </c>
      <c r="AD42">
        <v>5.4</v>
      </c>
    </row>
    <row r="43" spans="7:30">
      <c r="K43" t="s">
        <v>193</v>
      </c>
      <c r="L43">
        <v>0.7651</v>
      </c>
      <c r="M43">
        <v>1</v>
      </c>
    </row>
    <row r="44" spans="7:30">
      <c r="G44" t="s">
        <v>64</v>
      </c>
      <c r="H44">
        <v>12.53</v>
      </c>
      <c r="I44">
        <v>1</v>
      </c>
      <c r="K44" t="s">
        <v>194</v>
      </c>
      <c r="L44">
        <v>0.87839999999999996</v>
      </c>
      <c r="M44">
        <v>1</v>
      </c>
      <c r="AB44" t="s">
        <v>199</v>
      </c>
      <c r="AC44">
        <v>2.5350000000000001</v>
      </c>
    </row>
    <row r="45" spans="7:30">
      <c r="G45" t="s">
        <v>65</v>
      </c>
      <c r="H45">
        <v>18.68</v>
      </c>
      <c r="I45">
        <v>1</v>
      </c>
      <c r="K45" t="s">
        <v>195</v>
      </c>
      <c r="L45">
        <v>1.0705</v>
      </c>
      <c r="M45">
        <v>1</v>
      </c>
      <c r="AB45" t="s">
        <v>200</v>
      </c>
      <c r="AC45">
        <v>4.8150000000000004</v>
      </c>
    </row>
    <row r="46" spans="7:30">
      <c r="G46" t="s">
        <v>66</v>
      </c>
      <c r="H46">
        <v>24.83</v>
      </c>
      <c r="I46">
        <v>1</v>
      </c>
      <c r="K46" t="s">
        <v>196</v>
      </c>
      <c r="L46">
        <v>1.2228000000000001</v>
      </c>
      <c r="M46">
        <v>1</v>
      </c>
    </row>
    <row r="47" spans="7:30">
      <c r="G47" t="s">
        <v>67</v>
      </c>
      <c r="H47">
        <v>30.98</v>
      </c>
      <c r="I47">
        <v>1</v>
      </c>
      <c r="K47" t="s">
        <v>197</v>
      </c>
      <c r="L47">
        <v>1.4787999999999999</v>
      </c>
      <c r="M47">
        <v>1</v>
      </c>
    </row>
    <row r="49" spans="7:9">
      <c r="G49" t="s">
        <v>75</v>
      </c>
      <c r="H49">
        <v>28.73</v>
      </c>
      <c r="I49">
        <v>1</v>
      </c>
    </row>
    <row r="50" spans="7:9">
      <c r="G50" t="s">
        <v>76</v>
      </c>
      <c r="H50">
        <v>38.21</v>
      </c>
      <c r="I50">
        <v>1</v>
      </c>
    </row>
    <row r="51" spans="7:9">
      <c r="G51" t="s">
        <v>77</v>
      </c>
      <c r="H51">
        <v>47.57</v>
      </c>
      <c r="I51">
        <v>1</v>
      </c>
    </row>
    <row r="52" spans="7:9">
      <c r="G52" t="s">
        <v>78</v>
      </c>
      <c r="H52">
        <v>57.62</v>
      </c>
      <c r="I52">
        <v>1</v>
      </c>
    </row>
    <row r="53" spans="7:9">
      <c r="G53" t="s">
        <v>79</v>
      </c>
      <c r="H53">
        <v>66.400000000000006</v>
      </c>
      <c r="I53">
        <v>1</v>
      </c>
    </row>
    <row r="54" spans="7:9">
      <c r="G54" t="s">
        <v>80</v>
      </c>
      <c r="H54">
        <v>75.19</v>
      </c>
      <c r="I54">
        <v>1</v>
      </c>
    </row>
    <row r="56" spans="7:9">
      <c r="G56" t="s">
        <v>87</v>
      </c>
      <c r="H56">
        <v>9.2100000000000009</v>
      </c>
      <c r="I56">
        <v>1</v>
      </c>
    </row>
    <row r="57" spans="7:9">
      <c r="G57" t="s">
        <v>88</v>
      </c>
      <c r="H57">
        <v>12.76</v>
      </c>
      <c r="I57">
        <v>1</v>
      </c>
    </row>
    <row r="59" spans="7:9">
      <c r="G59" t="s">
        <v>81</v>
      </c>
      <c r="H59">
        <v>14.67</v>
      </c>
      <c r="I59">
        <v>1</v>
      </c>
    </row>
    <row r="60" spans="7:9">
      <c r="G60" t="s">
        <v>82</v>
      </c>
      <c r="H60">
        <v>26.69</v>
      </c>
      <c r="I60">
        <v>1</v>
      </c>
    </row>
    <row r="61" spans="7:9">
      <c r="G61" t="s">
        <v>83</v>
      </c>
      <c r="H61">
        <v>40.04</v>
      </c>
      <c r="I61">
        <v>1</v>
      </c>
    </row>
    <row r="62" spans="7:9">
      <c r="G62" t="s">
        <v>84</v>
      </c>
      <c r="H62">
        <v>53.39</v>
      </c>
      <c r="I62">
        <v>1</v>
      </c>
    </row>
    <row r="63" spans="7:9">
      <c r="G63" t="s">
        <v>85</v>
      </c>
      <c r="H63">
        <v>66.73</v>
      </c>
      <c r="I63">
        <v>1</v>
      </c>
    </row>
    <row r="64" spans="7:9">
      <c r="G64" t="s">
        <v>86</v>
      </c>
      <c r="H64">
        <v>80.08</v>
      </c>
      <c r="I64">
        <v>1</v>
      </c>
    </row>
    <row r="66" spans="7:9">
      <c r="G66" t="s">
        <v>169</v>
      </c>
      <c r="H66">
        <v>4.17</v>
      </c>
      <c r="I66">
        <v>3.2</v>
      </c>
    </row>
    <row r="67" spans="7:9">
      <c r="G67" t="s">
        <v>170</v>
      </c>
      <c r="H67">
        <v>4.17</v>
      </c>
      <c r="I67">
        <v>4.8</v>
      </c>
    </row>
    <row r="68" spans="7:9">
      <c r="G68" t="s">
        <v>171</v>
      </c>
      <c r="H68">
        <v>4.17</v>
      </c>
      <c r="I68">
        <v>6.4</v>
      </c>
    </row>
    <row r="69" spans="7:9">
      <c r="G69" t="s">
        <v>172</v>
      </c>
      <c r="H69">
        <v>4.17</v>
      </c>
      <c r="I69">
        <v>8</v>
      </c>
    </row>
    <row r="70" spans="7:9">
      <c r="G70" t="s">
        <v>173</v>
      </c>
      <c r="H70">
        <v>4.17</v>
      </c>
      <c r="I70">
        <v>9.6</v>
      </c>
    </row>
    <row r="71" spans="7:9">
      <c r="G71" t="s">
        <v>174</v>
      </c>
      <c r="H71">
        <v>4.17</v>
      </c>
      <c r="I71">
        <v>11.2</v>
      </c>
    </row>
    <row r="72" spans="7:9">
      <c r="G72" t="s">
        <v>175</v>
      </c>
      <c r="H72">
        <v>4.17</v>
      </c>
      <c r="I72">
        <v>12.8</v>
      </c>
    </row>
  </sheetData>
  <mergeCells count="2">
    <mergeCell ref="C6:C7"/>
    <mergeCell ref="C8:C9"/>
  </mergeCells>
  <pageMargins left="0.7" right="0.7" top="0.75" bottom="0.75" header="0.3" footer="0.3"/>
  <pageSetup paperSize="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C2:AD17"/>
  <sheetViews>
    <sheetView workbookViewId="0">
      <selection activeCell="C3" sqref="C3:D3"/>
    </sheetView>
  </sheetViews>
  <sheetFormatPr baseColWidth="10" defaultColWidth="11.453125" defaultRowHeight="14.5"/>
  <cols>
    <col min="3" max="3" width="52" customWidth="1"/>
    <col min="4" max="30" width="4" customWidth="1"/>
  </cols>
  <sheetData>
    <row r="2" spans="3:30" ht="15" thickBot="1"/>
    <row r="3" spans="3:30" ht="15" thickBot="1">
      <c r="C3" s="14"/>
      <c r="D3" s="15">
        <v>7</v>
      </c>
      <c r="E3" s="16">
        <v>8</v>
      </c>
      <c r="F3" s="16">
        <v>9</v>
      </c>
      <c r="G3" s="16">
        <v>10</v>
      </c>
      <c r="H3" s="16">
        <v>11</v>
      </c>
      <c r="I3" s="16">
        <v>12</v>
      </c>
      <c r="J3" s="16">
        <v>13</v>
      </c>
      <c r="K3" s="16">
        <v>14</v>
      </c>
      <c r="L3" s="16">
        <v>15</v>
      </c>
      <c r="M3" s="16">
        <v>16</v>
      </c>
      <c r="N3" s="16">
        <v>17</v>
      </c>
      <c r="O3" s="16">
        <v>18</v>
      </c>
      <c r="P3" s="16">
        <v>19</v>
      </c>
      <c r="Q3" s="16">
        <v>20</v>
      </c>
      <c r="R3" s="16">
        <v>21</v>
      </c>
      <c r="S3" s="16">
        <v>22</v>
      </c>
      <c r="T3" s="16">
        <v>23</v>
      </c>
      <c r="U3" s="16">
        <v>24</v>
      </c>
      <c r="V3" s="16">
        <v>25</v>
      </c>
      <c r="W3" s="16">
        <v>26</v>
      </c>
      <c r="X3" s="16">
        <v>27</v>
      </c>
      <c r="Y3" s="16">
        <v>28</v>
      </c>
      <c r="Z3" s="16">
        <v>29</v>
      </c>
      <c r="AA3" s="16">
        <v>30</v>
      </c>
      <c r="AB3" s="16">
        <v>1</v>
      </c>
      <c r="AC3" s="16">
        <v>2</v>
      </c>
      <c r="AD3" s="17">
        <v>3</v>
      </c>
    </row>
    <row r="4" spans="3:30">
      <c r="C4" s="18" t="s">
        <v>183</v>
      </c>
      <c r="D4" s="31"/>
      <c r="E4" s="21"/>
      <c r="F4" s="21"/>
      <c r="G4" s="21"/>
      <c r="H4" s="22"/>
      <c r="I4" s="22"/>
      <c r="J4" s="22"/>
      <c r="K4" s="21"/>
      <c r="L4" s="21"/>
      <c r="M4" s="21"/>
      <c r="N4" s="21"/>
      <c r="O4" s="22"/>
      <c r="P4" s="22"/>
      <c r="Q4" s="21"/>
      <c r="R4" s="21"/>
      <c r="S4" s="21"/>
      <c r="T4" s="21"/>
      <c r="U4" s="21"/>
      <c r="V4" s="22"/>
      <c r="W4" s="22"/>
      <c r="X4" s="21"/>
      <c r="Y4" s="21"/>
      <c r="Z4" s="21"/>
      <c r="AA4" s="21"/>
      <c r="AB4" s="22"/>
      <c r="AC4" s="22"/>
      <c r="AD4" s="23"/>
    </row>
    <row r="5" spans="3:30">
      <c r="C5" s="19" t="s">
        <v>178</v>
      </c>
      <c r="D5" s="24"/>
      <c r="E5" s="32"/>
      <c r="F5" s="32"/>
      <c r="G5" s="32"/>
      <c r="H5" s="11"/>
      <c r="I5" s="11"/>
      <c r="J5" s="11"/>
      <c r="K5" s="9"/>
      <c r="L5" s="9"/>
      <c r="M5" s="9"/>
      <c r="N5" s="9"/>
      <c r="O5" s="11"/>
      <c r="P5" s="11"/>
      <c r="Q5" s="9"/>
      <c r="R5" s="9"/>
      <c r="S5" s="9"/>
      <c r="T5" s="9"/>
      <c r="U5" s="9"/>
      <c r="V5" s="11"/>
      <c r="W5" s="11"/>
      <c r="X5" s="9"/>
      <c r="Y5" s="9"/>
      <c r="Z5" s="9"/>
      <c r="AA5" s="9"/>
      <c r="AB5" s="11"/>
      <c r="AC5" s="11"/>
      <c r="AD5" s="25"/>
    </row>
    <row r="6" spans="3:30">
      <c r="C6" s="19" t="s">
        <v>179</v>
      </c>
      <c r="D6" s="24"/>
      <c r="E6" s="9"/>
      <c r="F6" s="9"/>
      <c r="G6" s="9"/>
      <c r="H6" s="11"/>
      <c r="I6" s="11"/>
      <c r="J6" s="11"/>
      <c r="K6" s="10"/>
      <c r="L6" s="10"/>
      <c r="M6" s="9"/>
      <c r="N6" s="9"/>
      <c r="O6" s="11"/>
      <c r="P6" s="11"/>
      <c r="Q6" s="9"/>
      <c r="R6" s="9"/>
      <c r="S6" s="9"/>
      <c r="T6" s="9"/>
      <c r="U6" s="9"/>
      <c r="V6" s="11"/>
      <c r="W6" s="11"/>
      <c r="X6" s="9"/>
      <c r="Y6" s="9"/>
      <c r="Z6" s="9"/>
      <c r="AA6" s="9"/>
      <c r="AB6" s="11"/>
      <c r="AC6" s="11"/>
      <c r="AD6" s="25"/>
    </row>
    <row r="7" spans="3:30">
      <c r="C7" s="19" t="s">
        <v>180</v>
      </c>
      <c r="D7" s="24"/>
      <c r="E7" s="9"/>
      <c r="F7" s="9"/>
      <c r="G7" s="10"/>
      <c r="H7" s="11"/>
      <c r="I7" s="11"/>
      <c r="J7" s="11"/>
      <c r="K7" s="10"/>
      <c r="L7" s="10"/>
      <c r="M7" s="10"/>
      <c r="N7" s="9"/>
      <c r="O7" s="11"/>
      <c r="P7" s="11"/>
      <c r="Q7" s="9"/>
      <c r="R7" s="9"/>
      <c r="S7" s="9"/>
      <c r="T7" s="9"/>
      <c r="U7" s="9"/>
      <c r="V7" s="11"/>
      <c r="W7" s="11"/>
      <c r="X7" s="9"/>
      <c r="Y7" s="9"/>
      <c r="Z7" s="9"/>
      <c r="AA7" s="9"/>
      <c r="AB7" s="11"/>
      <c r="AC7" s="11"/>
      <c r="AD7" s="25"/>
    </row>
    <row r="8" spans="3:30">
      <c r="C8" s="19" t="s">
        <v>178</v>
      </c>
      <c r="D8" s="24"/>
      <c r="E8" s="9"/>
      <c r="F8" s="9"/>
      <c r="G8" s="9"/>
      <c r="H8" s="11"/>
      <c r="I8" s="11"/>
      <c r="J8" s="11"/>
      <c r="K8" s="12"/>
      <c r="L8" s="12"/>
      <c r="M8" s="12"/>
      <c r="N8" s="10"/>
      <c r="O8" s="11"/>
      <c r="P8" s="11"/>
      <c r="Q8" s="9"/>
      <c r="R8" s="9"/>
      <c r="S8" s="9"/>
      <c r="T8" s="9"/>
      <c r="U8" s="9"/>
      <c r="V8" s="11"/>
      <c r="W8" s="11"/>
      <c r="X8" s="9"/>
      <c r="Y8" s="9"/>
      <c r="Z8" s="9"/>
      <c r="AA8" s="9"/>
      <c r="AB8" s="11"/>
      <c r="AC8" s="11"/>
      <c r="AD8" s="25"/>
    </row>
    <row r="9" spans="3:30">
      <c r="C9" s="19" t="s">
        <v>179</v>
      </c>
      <c r="D9" s="24"/>
      <c r="E9" s="9"/>
      <c r="F9" s="9"/>
      <c r="G9" s="9"/>
      <c r="H9" s="11"/>
      <c r="I9" s="11"/>
      <c r="J9" s="11"/>
      <c r="K9" s="12"/>
      <c r="L9" s="12"/>
      <c r="M9" s="12"/>
      <c r="N9" s="10"/>
      <c r="O9" s="11"/>
      <c r="P9" s="11"/>
      <c r="Q9" s="9"/>
      <c r="R9" s="9"/>
      <c r="S9" s="9"/>
      <c r="T9" s="9"/>
      <c r="U9" s="9"/>
      <c r="V9" s="11"/>
      <c r="W9" s="11"/>
      <c r="X9" s="9"/>
      <c r="Y9" s="9"/>
      <c r="Z9" s="9"/>
      <c r="AA9" s="9"/>
      <c r="AB9" s="11"/>
      <c r="AC9" s="11"/>
      <c r="AD9" s="25"/>
    </row>
    <row r="10" spans="3:30">
      <c r="C10" s="13"/>
      <c r="D10" s="24"/>
      <c r="E10" s="9"/>
      <c r="F10" s="9"/>
      <c r="G10" s="9"/>
      <c r="H10" s="11"/>
      <c r="I10" s="11"/>
      <c r="J10" s="11"/>
      <c r="K10" s="9"/>
      <c r="L10" s="9"/>
      <c r="M10" s="9"/>
      <c r="N10" s="9"/>
      <c r="O10" s="11"/>
      <c r="P10" s="11"/>
      <c r="Q10" s="9"/>
      <c r="R10" s="9"/>
      <c r="S10" s="9"/>
      <c r="T10" s="9"/>
      <c r="U10" s="9"/>
      <c r="V10" s="11"/>
      <c r="W10" s="11"/>
      <c r="X10" s="9"/>
      <c r="Y10" s="9"/>
      <c r="Z10" s="9"/>
      <c r="AA10" s="9"/>
      <c r="AB10" s="11"/>
      <c r="AC10" s="11"/>
      <c r="AD10" s="25"/>
    </row>
    <row r="11" spans="3:30">
      <c r="C11" s="19" t="s">
        <v>181</v>
      </c>
      <c r="D11" s="24"/>
      <c r="E11" s="9"/>
      <c r="F11" s="9"/>
      <c r="G11" s="9"/>
      <c r="H11" s="11"/>
      <c r="I11" s="11"/>
      <c r="J11" s="11"/>
      <c r="K11" s="9"/>
      <c r="L11" s="9"/>
      <c r="M11" s="9"/>
      <c r="N11" s="9"/>
      <c r="O11" s="11"/>
      <c r="P11" s="11"/>
      <c r="Q11" s="10"/>
      <c r="R11" s="9"/>
      <c r="S11" s="9"/>
      <c r="T11" s="9"/>
      <c r="U11" s="9"/>
      <c r="V11" s="11"/>
      <c r="W11" s="11"/>
      <c r="X11" s="9"/>
      <c r="Y11" s="9"/>
      <c r="Z11" s="9"/>
      <c r="AA11" s="9"/>
      <c r="AB11" s="11"/>
      <c r="AC11" s="11"/>
      <c r="AD11" s="25"/>
    </row>
    <row r="12" spans="3:30">
      <c r="C12" s="19" t="s">
        <v>178</v>
      </c>
      <c r="D12" s="24"/>
      <c r="E12" s="9"/>
      <c r="F12" s="9"/>
      <c r="G12" s="9"/>
      <c r="H12" s="11"/>
      <c r="I12" s="11"/>
      <c r="J12" s="11"/>
      <c r="K12" s="9"/>
      <c r="L12" s="9"/>
      <c r="M12" s="9"/>
      <c r="N12" s="9"/>
      <c r="O12" s="11"/>
      <c r="P12" s="11"/>
      <c r="Q12" s="9"/>
      <c r="R12" s="10"/>
      <c r="S12" s="10"/>
      <c r="T12" s="9"/>
      <c r="U12" s="9"/>
      <c r="V12" s="11"/>
      <c r="W12" s="11"/>
      <c r="X12" s="9"/>
      <c r="Y12" s="9"/>
      <c r="Z12" s="9"/>
      <c r="AA12" s="9"/>
      <c r="AB12" s="11"/>
      <c r="AC12" s="11"/>
      <c r="AD12" s="25"/>
    </row>
    <row r="13" spans="3:30">
      <c r="C13" s="19" t="s">
        <v>179</v>
      </c>
      <c r="D13" s="24"/>
      <c r="E13" s="9"/>
      <c r="F13" s="9"/>
      <c r="G13" s="9"/>
      <c r="H13" s="11"/>
      <c r="I13" s="11"/>
      <c r="J13" s="11"/>
      <c r="K13" s="9"/>
      <c r="L13" s="9"/>
      <c r="M13" s="9"/>
      <c r="N13" s="9"/>
      <c r="O13" s="11"/>
      <c r="P13" s="11"/>
      <c r="Q13" s="9"/>
      <c r="R13" s="9"/>
      <c r="S13" s="12"/>
      <c r="T13" s="10"/>
      <c r="U13" s="10"/>
      <c r="V13" s="11"/>
      <c r="W13" s="11"/>
      <c r="X13" s="9"/>
      <c r="Y13" s="9"/>
      <c r="Z13" s="9"/>
      <c r="AA13" s="9"/>
      <c r="AB13" s="11"/>
      <c r="AC13" s="11"/>
      <c r="AD13" s="25"/>
    </row>
    <row r="14" spans="3:30">
      <c r="C14" s="13"/>
      <c r="D14" s="24"/>
      <c r="E14" s="9"/>
      <c r="F14" s="9"/>
      <c r="G14" s="9"/>
      <c r="H14" s="11"/>
      <c r="I14" s="11"/>
      <c r="J14" s="11"/>
      <c r="K14" s="9"/>
      <c r="L14" s="9"/>
      <c r="M14" s="9"/>
      <c r="N14" s="9"/>
      <c r="O14" s="11"/>
      <c r="P14" s="11"/>
      <c r="Q14" s="9"/>
      <c r="R14" s="9"/>
      <c r="S14" s="9"/>
      <c r="T14" s="9"/>
      <c r="U14" s="9"/>
      <c r="V14" s="11"/>
      <c r="W14" s="11"/>
      <c r="X14" s="9"/>
      <c r="Y14" s="9"/>
      <c r="Z14" s="9"/>
      <c r="AA14" s="9"/>
      <c r="AB14" s="11"/>
      <c r="AC14" s="11"/>
      <c r="AD14" s="25"/>
    </row>
    <row r="15" spans="3:30">
      <c r="C15" s="19" t="s">
        <v>182</v>
      </c>
      <c r="D15" s="24"/>
      <c r="E15" s="9"/>
      <c r="F15" s="9"/>
      <c r="G15" s="9"/>
      <c r="H15" s="11"/>
      <c r="I15" s="11"/>
      <c r="J15" s="11"/>
      <c r="K15" s="9"/>
      <c r="L15" s="9"/>
      <c r="M15" s="9"/>
      <c r="N15" s="9"/>
      <c r="O15" s="11"/>
      <c r="P15" s="11"/>
      <c r="Q15" s="9"/>
      <c r="R15" s="9"/>
      <c r="S15" s="9"/>
      <c r="T15" s="9"/>
      <c r="U15" s="9"/>
      <c r="V15" s="11"/>
      <c r="W15" s="11"/>
      <c r="X15" s="10"/>
      <c r="Y15" s="9"/>
      <c r="Z15" s="9"/>
      <c r="AA15" s="9"/>
      <c r="AB15" s="11"/>
      <c r="AC15" s="11"/>
      <c r="AD15" s="25"/>
    </row>
    <row r="16" spans="3:30">
      <c r="C16" s="19" t="s">
        <v>178</v>
      </c>
      <c r="D16" s="24"/>
      <c r="E16" s="9"/>
      <c r="F16" s="9"/>
      <c r="G16" s="9"/>
      <c r="H16" s="11"/>
      <c r="I16" s="11"/>
      <c r="J16" s="11"/>
      <c r="K16" s="9"/>
      <c r="L16" s="9"/>
      <c r="M16" s="9"/>
      <c r="N16" s="9"/>
      <c r="O16" s="11"/>
      <c r="P16" s="11"/>
      <c r="Q16" s="9"/>
      <c r="R16" s="9"/>
      <c r="S16" s="9"/>
      <c r="T16" s="9"/>
      <c r="U16" s="9"/>
      <c r="V16" s="11"/>
      <c r="W16" s="11"/>
      <c r="X16" s="9"/>
      <c r="Y16" s="10"/>
      <c r="Z16" s="9"/>
      <c r="AA16" s="9"/>
      <c r="AB16" s="11"/>
      <c r="AC16" s="11"/>
      <c r="AD16" s="25"/>
    </row>
    <row r="17" spans="3:30" ht="15" thickBot="1">
      <c r="C17" s="20" t="s">
        <v>179</v>
      </c>
      <c r="D17" s="26"/>
      <c r="E17" s="27"/>
      <c r="F17" s="27"/>
      <c r="G17" s="27"/>
      <c r="H17" s="28"/>
      <c r="I17" s="28"/>
      <c r="J17" s="28"/>
      <c r="K17" s="27"/>
      <c r="L17" s="27"/>
      <c r="M17" s="27"/>
      <c r="N17" s="27"/>
      <c r="O17" s="28"/>
      <c r="P17" s="28"/>
      <c r="Q17" s="27"/>
      <c r="R17" s="27"/>
      <c r="S17" s="27"/>
      <c r="T17" s="27"/>
      <c r="U17" s="27"/>
      <c r="V17" s="28"/>
      <c r="W17" s="28"/>
      <c r="X17" s="27"/>
      <c r="Y17" s="27"/>
      <c r="Z17" s="29"/>
      <c r="AA17" s="29"/>
      <c r="AB17" s="28"/>
      <c r="AC17" s="28"/>
      <c r="AD17" s="30"/>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4E1DD-4328-4768-BD07-9D2F5A783819}">
  <dimension ref="A1:U806"/>
  <sheetViews>
    <sheetView zoomScaleNormal="100" workbookViewId="0">
      <pane xSplit="2" ySplit="2" topLeftCell="F352" activePane="bottomRight" state="frozen"/>
      <selection activeCell="J196" sqref="J196:K341"/>
      <selection pane="topRight" activeCell="J196" sqref="J196:K341"/>
      <selection pane="bottomLeft" activeCell="J196" sqref="J196:K341"/>
      <selection pane="bottomRight" activeCell="J196" sqref="J196:K341"/>
    </sheetView>
  </sheetViews>
  <sheetFormatPr baseColWidth="10" defaultColWidth="11.54296875" defaultRowHeight="14.5"/>
  <cols>
    <col min="1" max="1" width="14.26953125" style="67" customWidth="1"/>
    <col min="2" max="2" width="42" style="1" customWidth="1"/>
    <col min="3" max="3" width="15.26953125" style="55" customWidth="1"/>
    <col min="4" max="4" width="9.26953125" style="55" customWidth="1"/>
    <col min="5" max="5" width="9.453125" style="55" customWidth="1"/>
    <col min="6" max="6" width="13.81640625" style="91" customWidth="1"/>
    <col min="7" max="7" width="10.81640625" style="55" customWidth="1"/>
    <col min="8" max="8" width="13.26953125" style="78" customWidth="1"/>
    <col min="9" max="9" width="12.7265625" style="78" customWidth="1"/>
    <col min="10" max="12" width="12" style="55" customWidth="1"/>
    <col min="13" max="13" width="14.54296875" style="75" bestFit="1" customWidth="1"/>
    <col min="14" max="15" width="14.54296875" style="75" customWidth="1"/>
    <col min="16" max="17" width="12" style="55" customWidth="1"/>
    <col min="18" max="18" width="11.54296875" style="75"/>
    <col min="19" max="19" width="7.7265625" style="75" customWidth="1"/>
    <col min="20" max="20" width="7.81640625" style="78" customWidth="1"/>
    <col min="21" max="21" width="7.54296875" style="78" bestFit="1" customWidth="1"/>
    <col min="22" max="16384" width="11.54296875" style="75"/>
  </cols>
  <sheetData>
    <row r="1" spans="1:21" ht="31.15" customHeight="1">
      <c r="A1" s="77"/>
      <c r="B1" s="104"/>
      <c r="C1" s="78"/>
      <c r="D1" s="78"/>
      <c r="E1" s="78"/>
      <c r="F1" s="87"/>
      <c r="G1" s="78"/>
      <c r="J1" s="78"/>
      <c r="K1" s="78"/>
      <c r="P1" s="78"/>
      <c r="Q1" s="78"/>
    </row>
    <row r="2" spans="1:21" s="76" customFormat="1" ht="58">
      <c r="A2" s="72"/>
      <c r="B2" s="73"/>
      <c r="C2" s="73" t="s">
        <v>17</v>
      </c>
      <c r="D2" s="74" t="s">
        <v>401</v>
      </c>
      <c r="E2" s="74" t="s">
        <v>402</v>
      </c>
      <c r="F2" s="74" t="s">
        <v>296</v>
      </c>
      <c r="G2" s="73" t="s">
        <v>386</v>
      </c>
      <c r="H2" s="74" t="s">
        <v>348</v>
      </c>
      <c r="I2" s="74" t="s">
        <v>345</v>
      </c>
      <c r="J2" s="74" t="s">
        <v>295</v>
      </c>
      <c r="K2" s="74" t="s">
        <v>293</v>
      </c>
      <c r="L2" s="540"/>
      <c r="O2" s="73" t="s">
        <v>1009</v>
      </c>
      <c r="P2" s="74" t="s">
        <v>295</v>
      </c>
      <c r="Q2" s="74" t="s">
        <v>293</v>
      </c>
      <c r="R2" s="224" t="s">
        <v>850</v>
      </c>
      <c r="S2" s="456" t="s">
        <v>849</v>
      </c>
      <c r="T2" s="517" t="s">
        <v>938</v>
      </c>
      <c r="U2" s="517"/>
    </row>
    <row r="3" spans="1:21">
      <c r="A3" s="504" t="s">
        <v>156</v>
      </c>
      <c r="B3" s="155" t="s">
        <v>542</v>
      </c>
      <c r="C3" s="415">
        <v>4.82</v>
      </c>
      <c r="D3" s="157">
        <v>1</v>
      </c>
      <c r="E3" s="157"/>
      <c r="F3" s="157">
        <v>1</v>
      </c>
      <c r="G3" s="157" t="s">
        <v>453</v>
      </c>
      <c r="H3" s="157" t="s">
        <v>98</v>
      </c>
      <c r="I3" s="157" t="s">
        <v>453</v>
      </c>
      <c r="J3" s="157" t="s">
        <v>98</v>
      </c>
      <c r="K3" s="157" t="s">
        <v>98</v>
      </c>
      <c r="L3" s="541"/>
      <c r="M3" s="416">
        <v>45292</v>
      </c>
      <c r="N3" s="416"/>
      <c r="O3" s="415">
        <v>4.7</v>
      </c>
      <c r="P3" s="157" t="s">
        <v>98</v>
      </c>
      <c r="Q3" s="157" t="s">
        <v>98</v>
      </c>
      <c r="R3" s="223">
        <v>0</v>
      </c>
    </row>
    <row r="4" spans="1:21">
      <c r="A4" s="504"/>
      <c r="B4" s="95" t="s">
        <v>543</v>
      </c>
      <c r="C4" s="415">
        <f>(C3+C5)/2</f>
        <v>7.22</v>
      </c>
      <c r="D4" s="97">
        <v>1</v>
      </c>
      <c r="E4" s="97"/>
      <c r="F4" s="97">
        <v>1</v>
      </c>
      <c r="G4" s="97" t="s">
        <v>453</v>
      </c>
      <c r="H4" s="97" t="s">
        <v>98</v>
      </c>
      <c r="I4" s="97" t="s">
        <v>453</v>
      </c>
      <c r="J4" s="97" t="s">
        <v>98</v>
      </c>
      <c r="K4" s="97" t="s">
        <v>98</v>
      </c>
      <c r="L4" s="542"/>
      <c r="M4" s="416">
        <v>45292</v>
      </c>
      <c r="N4" s="416"/>
      <c r="O4" s="415">
        <f>(O3+O5)/2</f>
        <v>7.0400000000000009</v>
      </c>
      <c r="P4" s="97" t="s">
        <v>98</v>
      </c>
      <c r="Q4" s="97" t="s">
        <v>98</v>
      </c>
      <c r="R4" s="223">
        <v>0</v>
      </c>
      <c r="S4" s="75">
        <v>7.08</v>
      </c>
    </row>
    <row r="5" spans="1:21">
      <c r="A5" s="504"/>
      <c r="B5" s="155" t="s">
        <v>544</v>
      </c>
      <c r="C5" s="415">
        <v>9.6199999999999992</v>
      </c>
      <c r="D5" s="157">
        <v>1</v>
      </c>
      <c r="E5" s="157"/>
      <c r="F5" s="157">
        <v>1</v>
      </c>
      <c r="G5" s="157" t="s">
        <v>453</v>
      </c>
      <c r="H5" s="157" t="s">
        <v>98</v>
      </c>
      <c r="I5" s="157" t="s">
        <v>453</v>
      </c>
      <c r="J5" s="157" t="s">
        <v>98</v>
      </c>
      <c r="K5" s="157" t="s">
        <v>98</v>
      </c>
      <c r="L5" s="541"/>
      <c r="M5" s="416">
        <v>45292</v>
      </c>
      <c r="N5" s="416"/>
      <c r="O5" s="415">
        <v>9.3800000000000008</v>
      </c>
      <c r="P5" s="157" t="s">
        <v>98</v>
      </c>
      <c r="Q5" s="157" t="s">
        <v>98</v>
      </c>
      <c r="R5" s="223">
        <v>0</v>
      </c>
    </row>
    <row r="6" spans="1:21">
      <c r="A6" s="504"/>
      <c r="B6" s="95" t="s">
        <v>545</v>
      </c>
      <c r="C6" s="415">
        <f>(C5+C7)/2</f>
        <v>12.03</v>
      </c>
      <c r="D6" s="97">
        <v>1</v>
      </c>
      <c r="E6" s="97"/>
      <c r="F6" s="97">
        <v>1</v>
      </c>
      <c r="G6" s="97" t="s">
        <v>453</v>
      </c>
      <c r="H6" s="97" t="s">
        <v>98</v>
      </c>
      <c r="I6" s="97" t="s">
        <v>453</v>
      </c>
      <c r="J6" s="97" t="s">
        <v>98</v>
      </c>
      <c r="K6" s="97" t="s">
        <v>98</v>
      </c>
      <c r="L6" s="542"/>
      <c r="M6" s="416">
        <v>45292</v>
      </c>
      <c r="N6" s="416"/>
      <c r="O6" s="415">
        <f>(O5+O7)/2</f>
        <v>11.73</v>
      </c>
      <c r="P6" s="97" t="s">
        <v>98</v>
      </c>
      <c r="Q6" s="97" t="s">
        <v>98</v>
      </c>
      <c r="R6" s="223">
        <v>0</v>
      </c>
      <c r="S6" s="75">
        <v>11.76</v>
      </c>
    </row>
    <row r="7" spans="1:21">
      <c r="A7" s="504"/>
      <c r="B7" s="155" t="s">
        <v>546</v>
      </c>
      <c r="C7" s="415">
        <v>14.44</v>
      </c>
      <c r="D7" s="157">
        <v>1</v>
      </c>
      <c r="E7" s="157"/>
      <c r="F7" s="157">
        <v>1</v>
      </c>
      <c r="G7" s="157" t="s">
        <v>453</v>
      </c>
      <c r="H7" s="157" t="s">
        <v>98</v>
      </c>
      <c r="I7" s="157" t="s">
        <v>453</v>
      </c>
      <c r="J7" s="157" t="s">
        <v>98</v>
      </c>
      <c r="K7" s="157" t="s">
        <v>98</v>
      </c>
      <c r="L7" s="541"/>
      <c r="M7" s="416">
        <v>45292</v>
      </c>
      <c r="N7" s="416"/>
      <c r="O7" s="415">
        <v>14.08</v>
      </c>
      <c r="P7" s="157" t="s">
        <v>98</v>
      </c>
      <c r="Q7" s="157" t="s">
        <v>98</v>
      </c>
      <c r="R7" s="223">
        <v>0</v>
      </c>
    </row>
    <row r="8" spans="1:21">
      <c r="A8" s="504"/>
      <c r="B8" s="95" t="s">
        <v>547</v>
      </c>
      <c r="C8" s="415">
        <f>(C7+C9)/2</f>
        <v>16.864999999999998</v>
      </c>
      <c r="D8" s="97">
        <v>1</v>
      </c>
      <c r="E8" s="97"/>
      <c r="F8" s="97">
        <v>1</v>
      </c>
      <c r="G8" s="97" t="s">
        <v>453</v>
      </c>
      <c r="H8" s="97" t="s">
        <v>98</v>
      </c>
      <c r="I8" s="97" t="s">
        <v>453</v>
      </c>
      <c r="J8" s="97" t="s">
        <v>98</v>
      </c>
      <c r="K8" s="97" t="s">
        <v>98</v>
      </c>
      <c r="L8" s="542"/>
      <c r="M8" s="416">
        <v>45292</v>
      </c>
      <c r="N8" s="416"/>
      <c r="O8" s="415">
        <f>(O7+O9)/2</f>
        <v>16.43</v>
      </c>
      <c r="P8" s="97" t="s">
        <v>98</v>
      </c>
      <c r="Q8" s="97" t="s">
        <v>98</v>
      </c>
      <c r="R8" s="223">
        <v>0</v>
      </c>
      <c r="S8" s="75">
        <v>16.43</v>
      </c>
    </row>
    <row r="9" spans="1:21">
      <c r="A9" s="504"/>
      <c r="B9" s="155" t="s">
        <v>548</v>
      </c>
      <c r="C9" s="415">
        <v>19.29</v>
      </c>
      <c r="D9" s="157">
        <v>1</v>
      </c>
      <c r="E9" s="157"/>
      <c r="F9" s="157">
        <v>1</v>
      </c>
      <c r="G9" s="157" t="s">
        <v>453</v>
      </c>
      <c r="H9" s="157" t="s">
        <v>98</v>
      </c>
      <c r="I9" s="157" t="s">
        <v>453</v>
      </c>
      <c r="J9" s="157" t="s">
        <v>98</v>
      </c>
      <c r="K9" s="157" t="s">
        <v>98</v>
      </c>
      <c r="L9" s="541"/>
      <c r="M9" s="416">
        <v>45292</v>
      </c>
      <c r="N9" s="416"/>
      <c r="O9" s="415">
        <v>18.78</v>
      </c>
      <c r="P9" s="157" t="s">
        <v>98</v>
      </c>
      <c r="Q9" s="157" t="s">
        <v>98</v>
      </c>
      <c r="R9" s="223">
        <v>0</v>
      </c>
    </row>
    <row r="10" spans="1:21">
      <c r="A10" s="504"/>
      <c r="B10" s="95" t="s">
        <v>549</v>
      </c>
      <c r="C10" s="415">
        <f>(C9+C11)/2</f>
        <v>21.674999999999997</v>
      </c>
      <c r="D10" s="97">
        <v>1</v>
      </c>
      <c r="E10" s="97"/>
      <c r="F10" s="97">
        <v>1</v>
      </c>
      <c r="G10" s="97" t="s">
        <v>453</v>
      </c>
      <c r="H10" s="97" t="s">
        <v>98</v>
      </c>
      <c r="I10" s="97" t="s">
        <v>453</v>
      </c>
      <c r="J10" s="97" t="s">
        <v>98</v>
      </c>
      <c r="K10" s="97" t="s">
        <v>98</v>
      </c>
      <c r="L10" s="542"/>
      <c r="M10" s="416">
        <v>45292</v>
      </c>
      <c r="N10" s="416"/>
      <c r="O10" s="415">
        <f>(O9+O11)/2</f>
        <v>21.12</v>
      </c>
      <c r="P10" s="97" t="s">
        <v>98</v>
      </c>
      <c r="Q10" s="97" t="s">
        <v>98</v>
      </c>
      <c r="R10" s="223">
        <v>0</v>
      </c>
      <c r="S10" s="75">
        <v>21.1</v>
      </c>
    </row>
    <row r="11" spans="1:21">
      <c r="A11" s="504"/>
      <c r="B11" s="155" t="s">
        <v>550</v>
      </c>
      <c r="C11" s="415">
        <v>24.06</v>
      </c>
      <c r="D11" s="157">
        <v>1</v>
      </c>
      <c r="E11" s="157"/>
      <c r="F11" s="157">
        <v>1</v>
      </c>
      <c r="G11" s="157" t="s">
        <v>453</v>
      </c>
      <c r="H11" s="157" t="s">
        <v>98</v>
      </c>
      <c r="I11" s="157" t="s">
        <v>453</v>
      </c>
      <c r="J11" s="157" t="s">
        <v>98</v>
      </c>
      <c r="K11" s="157" t="s">
        <v>98</v>
      </c>
      <c r="L11" s="541"/>
      <c r="M11" s="416">
        <v>45292</v>
      </c>
      <c r="N11" s="416"/>
      <c r="O11" s="415">
        <v>23.46</v>
      </c>
      <c r="P11" s="157" t="s">
        <v>98</v>
      </c>
      <c r="Q11" s="157" t="s">
        <v>98</v>
      </c>
      <c r="R11" s="223">
        <v>0</v>
      </c>
    </row>
    <row r="12" spans="1:21">
      <c r="A12" s="504"/>
      <c r="B12" s="95" t="s">
        <v>551</v>
      </c>
      <c r="C12" s="415">
        <f>(C11+C13)/2</f>
        <v>26.494999999999997</v>
      </c>
      <c r="D12" s="97">
        <v>1</v>
      </c>
      <c r="E12" s="97"/>
      <c r="F12" s="97">
        <v>1</v>
      </c>
      <c r="G12" s="97" t="s">
        <v>453</v>
      </c>
      <c r="H12" s="97" t="s">
        <v>98</v>
      </c>
      <c r="I12" s="97" t="s">
        <v>453</v>
      </c>
      <c r="J12" s="97" t="s">
        <v>98</v>
      </c>
      <c r="K12" s="97" t="s">
        <v>98</v>
      </c>
      <c r="L12" s="542"/>
      <c r="M12" s="416">
        <v>45292</v>
      </c>
      <c r="N12" s="416"/>
      <c r="O12" s="415">
        <f>(O11+O13)/2</f>
        <v>25.815000000000001</v>
      </c>
      <c r="P12" s="97" t="s">
        <v>98</v>
      </c>
      <c r="Q12" s="97" t="s">
        <v>98</v>
      </c>
      <c r="R12" s="223">
        <v>0</v>
      </c>
      <c r="S12" s="75">
        <v>27.37</v>
      </c>
    </row>
    <row r="13" spans="1:21">
      <c r="A13" s="504"/>
      <c r="B13" s="155" t="s">
        <v>552</v>
      </c>
      <c r="C13" s="415">
        <v>28.93</v>
      </c>
      <c r="D13" s="157">
        <v>1</v>
      </c>
      <c r="E13" s="157"/>
      <c r="F13" s="157">
        <v>1</v>
      </c>
      <c r="G13" s="157" t="s">
        <v>453</v>
      </c>
      <c r="H13" s="157" t="s">
        <v>98</v>
      </c>
      <c r="I13" s="157" t="s">
        <v>453</v>
      </c>
      <c r="J13" s="157" t="s">
        <v>98</v>
      </c>
      <c r="K13" s="157" t="s">
        <v>98</v>
      </c>
      <c r="L13" s="541"/>
      <c r="M13" s="416">
        <v>45292</v>
      </c>
      <c r="N13" s="416"/>
      <c r="O13" s="415">
        <v>28.17</v>
      </c>
      <c r="P13" s="157" t="s">
        <v>98</v>
      </c>
      <c r="Q13" s="157" t="s">
        <v>98</v>
      </c>
      <c r="R13" s="223">
        <v>0</v>
      </c>
    </row>
    <row r="14" spans="1:21">
      <c r="A14" s="504"/>
      <c r="B14" s="95" t="s">
        <v>553</v>
      </c>
      <c r="C14" s="415">
        <f>(C13+C15)/2</f>
        <v>31.335000000000001</v>
      </c>
      <c r="D14" s="97">
        <v>1</v>
      </c>
      <c r="E14" s="97"/>
      <c r="F14" s="97">
        <v>1</v>
      </c>
      <c r="G14" s="97" t="s">
        <v>453</v>
      </c>
      <c r="H14" s="97" t="s">
        <v>98</v>
      </c>
      <c r="I14" s="97" t="s">
        <v>453</v>
      </c>
      <c r="J14" s="97" t="s">
        <v>98</v>
      </c>
      <c r="K14" s="97" t="s">
        <v>98</v>
      </c>
      <c r="L14" s="542"/>
      <c r="M14" s="416">
        <v>45292</v>
      </c>
      <c r="N14" s="416"/>
      <c r="O14" s="415">
        <f>(O13+O15)/2</f>
        <v>30.515000000000001</v>
      </c>
      <c r="P14" s="97" t="s">
        <v>98</v>
      </c>
      <c r="Q14" s="97" t="s">
        <v>98</v>
      </c>
      <c r="R14" s="223">
        <v>0</v>
      </c>
      <c r="S14" s="75">
        <v>32.35</v>
      </c>
    </row>
    <row r="15" spans="1:21">
      <c r="A15" s="504"/>
      <c r="B15" s="155" t="s">
        <v>554</v>
      </c>
      <c r="C15" s="415">
        <v>33.74</v>
      </c>
      <c r="D15" s="157">
        <v>1</v>
      </c>
      <c r="E15" s="157"/>
      <c r="F15" s="157">
        <v>1</v>
      </c>
      <c r="G15" s="157" t="s">
        <v>453</v>
      </c>
      <c r="H15" s="157" t="s">
        <v>98</v>
      </c>
      <c r="I15" s="157" t="s">
        <v>453</v>
      </c>
      <c r="J15" s="157" t="s">
        <v>98</v>
      </c>
      <c r="K15" s="157" t="s">
        <v>98</v>
      </c>
      <c r="L15" s="541"/>
      <c r="M15" s="416">
        <v>45292</v>
      </c>
      <c r="N15" s="416"/>
      <c r="O15" s="415">
        <v>32.86</v>
      </c>
      <c r="P15" s="157" t="s">
        <v>98</v>
      </c>
      <c r="Q15" s="157" t="s">
        <v>98</v>
      </c>
      <c r="R15" s="223">
        <v>0</v>
      </c>
    </row>
    <row r="16" spans="1:21">
      <c r="A16" s="504"/>
      <c r="B16" s="95" t="s">
        <v>555</v>
      </c>
      <c r="C16" s="415">
        <f>(C15+C17)/2</f>
        <v>36.125</v>
      </c>
      <c r="D16" s="97">
        <v>1</v>
      </c>
      <c r="E16" s="97"/>
      <c r="F16" s="97">
        <v>1</v>
      </c>
      <c r="G16" s="97" t="s">
        <v>453</v>
      </c>
      <c r="H16" s="97" t="s">
        <v>98</v>
      </c>
      <c r="I16" s="97" t="s">
        <v>453</v>
      </c>
      <c r="J16" s="97" t="s">
        <v>98</v>
      </c>
      <c r="K16" s="97" t="s">
        <v>98</v>
      </c>
      <c r="L16" s="542"/>
      <c r="M16" s="416">
        <v>45292</v>
      </c>
      <c r="N16" s="416"/>
      <c r="O16" s="415">
        <f>(O15+O17)/2</f>
        <v>35.200000000000003</v>
      </c>
      <c r="P16" s="97" t="s">
        <v>98</v>
      </c>
      <c r="Q16" s="97" t="s">
        <v>98</v>
      </c>
      <c r="R16" s="223">
        <v>0</v>
      </c>
      <c r="S16" s="75">
        <v>37.31</v>
      </c>
    </row>
    <row r="17" spans="1:19">
      <c r="A17" s="504"/>
      <c r="B17" s="155" t="s">
        <v>556</v>
      </c>
      <c r="C17" s="415">
        <v>38.51</v>
      </c>
      <c r="D17" s="157">
        <v>1</v>
      </c>
      <c r="E17" s="157"/>
      <c r="F17" s="157">
        <v>1</v>
      </c>
      <c r="G17" s="157" t="s">
        <v>453</v>
      </c>
      <c r="H17" s="157" t="s">
        <v>98</v>
      </c>
      <c r="I17" s="157" t="s">
        <v>453</v>
      </c>
      <c r="J17" s="157" t="s">
        <v>98</v>
      </c>
      <c r="K17" s="157" t="s">
        <v>98</v>
      </c>
      <c r="L17" s="541"/>
      <c r="M17" s="416">
        <v>45292</v>
      </c>
      <c r="N17" s="416"/>
      <c r="O17" s="415">
        <v>37.54</v>
      </c>
      <c r="P17" s="157" t="s">
        <v>98</v>
      </c>
      <c r="Q17" s="157" t="s">
        <v>98</v>
      </c>
      <c r="R17" s="223">
        <v>0</v>
      </c>
    </row>
    <row r="18" spans="1:19">
      <c r="A18" s="504"/>
      <c r="B18" s="155" t="s">
        <v>939</v>
      </c>
      <c r="C18" s="415">
        <f>(C17/O17)*O18</f>
        <v>41.033564198188593</v>
      </c>
      <c r="D18" s="157">
        <v>1</v>
      </c>
      <c r="E18" s="157"/>
      <c r="F18" s="157">
        <v>1</v>
      </c>
      <c r="G18" s="157" t="s">
        <v>453</v>
      </c>
      <c r="H18" s="157" t="s">
        <v>98</v>
      </c>
      <c r="I18" s="157" t="s">
        <v>453</v>
      </c>
      <c r="J18" s="157" t="s">
        <v>98</v>
      </c>
      <c r="K18" s="157" t="s">
        <v>98</v>
      </c>
      <c r="L18" s="541"/>
      <c r="M18" s="416">
        <v>45292</v>
      </c>
      <c r="N18" s="416"/>
      <c r="O18" s="415">
        <v>40</v>
      </c>
      <c r="P18" s="157" t="s">
        <v>98</v>
      </c>
      <c r="Q18" s="157" t="s">
        <v>98</v>
      </c>
      <c r="R18" s="223">
        <v>0</v>
      </c>
    </row>
    <row r="19" spans="1:19">
      <c r="A19" s="504"/>
      <c r="B19" s="155" t="s">
        <v>940</v>
      </c>
      <c r="C19" s="415">
        <f t="shared" ref="C19:C21" si="0">(C18/O18)*O19</f>
        <v>43.392994139584438</v>
      </c>
      <c r="D19" s="157">
        <v>1</v>
      </c>
      <c r="E19" s="157"/>
      <c r="F19" s="157">
        <v>1</v>
      </c>
      <c r="G19" s="157" t="s">
        <v>453</v>
      </c>
      <c r="H19" s="157" t="s">
        <v>98</v>
      </c>
      <c r="I19" s="157" t="s">
        <v>453</v>
      </c>
      <c r="J19" s="157" t="s">
        <v>98</v>
      </c>
      <c r="K19" s="157" t="s">
        <v>98</v>
      </c>
      <c r="L19" s="541"/>
      <c r="M19" s="416">
        <v>45292</v>
      </c>
      <c r="N19" s="416"/>
      <c r="O19" s="415">
        <v>42.3</v>
      </c>
      <c r="P19" s="157" t="s">
        <v>98</v>
      </c>
      <c r="Q19" s="157" t="s">
        <v>98</v>
      </c>
      <c r="R19" s="223">
        <v>0</v>
      </c>
    </row>
    <row r="20" spans="1:19">
      <c r="A20" s="504"/>
      <c r="B20" s="155" t="s">
        <v>941</v>
      </c>
      <c r="C20" s="415">
        <f t="shared" si="0"/>
        <v>45.855007991475759</v>
      </c>
      <c r="D20" s="157">
        <v>1</v>
      </c>
      <c r="E20" s="157"/>
      <c r="F20" s="157">
        <v>1</v>
      </c>
      <c r="G20" s="157" t="s">
        <v>453</v>
      </c>
      <c r="H20" s="157" t="s">
        <v>98</v>
      </c>
      <c r="I20" s="157" t="s">
        <v>453</v>
      </c>
      <c r="J20" s="157" t="s">
        <v>98</v>
      </c>
      <c r="K20" s="157" t="s">
        <v>98</v>
      </c>
      <c r="L20" s="541"/>
      <c r="M20" s="416">
        <v>45292</v>
      </c>
      <c r="N20" s="416"/>
      <c r="O20" s="415">
        <v>44.7</v>
      </c>
      <c r="P20" s="157" t="s">
        <v>98</v>
      </c>
      <c r="Q20" s="157" t="s">
        <v>98</v>
      </c>
      <c r="R20" s="223">
        <v>0</v>
      </c>
    </row>
    <row r="21" spans="1:19">
      <c r="A21" s="504"/>
      <c r="B21" s="155" t="s">
        <v>942</v>
      </c>
      <c r="C21" s="415">
        <f t="shared" si="0"/>
        <v>48.214437932871597</v>
      </c>
      <c r="D21" s="157">
        <v>1</v>
      </c>
      <c r="E21" s="157"/>
      <c r="F21" s="157">
        <v>1</v>
      </c>
      <c r="G21" s="157" t="s">
        <v>453</v>
      </c>
      <c r="H21" s="157" t="s">
        <v>98</v>
      </c>
      <c r="I21" s="157" t="s">
        <v>453</v>
      </c>
      <c r="J21" s="157" t="s">
        <v>98</v>
      </c>
      <c r="K21" s="157" t="s">
        <v>98</v>
      </c>
      <c r="L21" s="541"/>
      <c r="M21" s="416">
        <v>45292</v>
      </c>
      <c r="N21" s="416"/>
      <c r="O21" s="415">
        <v>47</v>
      </c>
      <c r="P21" s="157" t="s">
        <v>98</v>
      </c>
      <c r="Q21" s="157" t="s">
        <v>98</v>
      </c>
      <c r="R21" s="223">
        <v>0</v>
      </c>
    </row>
    <row r="22" spans="1:19">
      <c r="A22" s="504"/>
      <c r="B22" s="95" t="s">
        <v>98</v>
      </c>
      <c r="C22" s="97"/>
      <c r="D22" s="97"/>
      <c r="E22" s="97"/>
      <c r="F22" s="97"/>
      <c r="G22" s="97"/>
      <c r="H22" s="97" t="s">
        <v>98</v>
      </c>
      <c r="I22" s="97"/>
      <c r="J22" s="97"/>
      <c r="K22" s="97"/>
      <c r="L22" s="542"/>
      <c r="O22" s="97"/>
      <c r="P22" s="97"/>
      <c r="Q22" s="97"/>
    </row>
    <row r="23" spans="1:19">
      <c r="A23" s="504"/>
      <c r="B23" s="155" t="s">
        <v>557</v>
      </c>
      <c r="C23" s="415">
        <v>5.5</v>
      </c>
      <c r="D23" s="157">
        <v>1</v>
      </c>
      <c r="E23" s="157"/>
      <c r="F23" s="157">
        <v>1</v>
      </c>
      <c r="G23" s="157" t="s">
        <v>453</v>
      </c>
      <c r="H23" s="157" t="s">
        <v>98</v>
      </c>
      <c r="I23" s="157" t="s">
        <v>453</v>
      </c>
      <c r="J23" s="157" t="s">
        <v>98</v>
      </c>
      <c r="K23" s="157" t="s">
        <v>98</v>
      </c>
      <c r="L23" s="541"/>
      <c r="M23" s="416">
        <v>45292</v>
      </c>
      <c r="N23" s="416"/>
      <c r="O23" s="415">
        <v>5.36</v>
      </c>
      <c r="P23" s="157" t="s">
        <v>98</v>
      </c>
      <c r="Q23" s="157" t="s">
        <v>98</v>
      </c>
      <c r="R23" s="223">
        <v>0.05</v>
      </c>
    </row>
    <row r="24" spans="1:19">
      <c r="A24" s="504"/>
      <c r="B24" s="95" t="s">
        <v>558</v>
      </c>
      <c r="C24" s="415">
        <f>(C23+C25)/2</f>
        <v>8.24</v>
      </c>
      <c r="D24" s="97">
        <v>1</v>
      </c>
      <c r="E24" s="97"/>
      <c r="F24" s="97">
        <v>1</v>
      </c>
      <c r="G24" s="97" t="s">
        <v>453</v>
      </c>
      <c r="H24" s="97" t="s">
        <v>98</v>
      </c>
      <c r="I24" s="97" t="s">
        <v>453</v>
      </c>
      <c r="J24" s="97" t="s">
        <v>98</v>
      </c>
      <c r="K24" s="97" t="s">
        <v>98</v>
      </c>
      <c r="L24" s="542"/>
      <c r="M24" s="416">
        <v>45292</v>
      </c>
      <c r="N24" s="416"/>
      <c r="O24" s="415">
        <f>(O23+O25)/2</f>
        <v>8.0299999999999994</v>
      </c>
      <c r="P24" s="97" t="s">
        <v>98</v>
      </c>
      <c r="Q24" s="97" t="s">
        <v>98</v>
      </c>
      <c r="R24" s="223">
        <v>0.05</v>
      </c>
      <c r="S24" s="132">
        <v>8.41</v>
      </c>
    </row>
    <row r="25" spans="1:19">
      <c r="A25" s="504"/>
      <c r="B25" s="155" t="s">
        <v>559</v>
      </c>
      <c r="C25" s="415">
        <v>10.98</v>
      </c>
      <c r="D25" s="157">
        <v>1</v>
      </c>
      <c r="E25" s="157"/>
      <c r="F25" s="157">
        <v>1</v>
      </c>
      <c r="G25" s="157" t="s">
        <v>453</v>
      </c>
      <c r="H25" s="157" t="s">
        <v>98</v>
      </c>
      <c r="I25" s="157" t="s">
        <v>453</v>
      </c>
      <c r="J25" s="157" t="s">
        <v>98</v>
      </c>
      <c r="K25" s="157" t="s">
        <v>98</v>
      </c>
      <c r="L25" s="541"/>
      <c r="M25" s="416">
        <v>45292</v>
      </c>
      <c r="N25" s="416"/>
      <c r="O25" s="415">
        <v>10.7</v>
      </c>
      <c r="P25" s="157" t="s">
        <v>98</v>
      </c>
      <c r="Q25" s="157" t="s">
        <v>98</v>
      </c>
      <c r="R25" s="223">
        <v>0.05</v>
      </c>
      <c r="S25" s="132"/>
    </row>
    <row r="26" spans="1:19">
      <c r="A26" s="504"/>
      <c r="B26" s="95" t="s">
        <v>560</v>
      </c>
      <c r="C26" s="415">
        <f>(C25+C27)/2</f>
        <v>13.725</v>
      </c>
      <c r="D26" s="97">
        <v>1</v>
      </c>
      <c r="E26" s="97"/>
      <c r="F26" s="97">
        <v>1</v>
      </c>
      <c r="G26" s="97" t="s">
        <v>453</v>
      </c>
      <c r="H26" s="97" t="s">
        <v>98</v>
      </c>
      <c r="I26" s="97" t="s">
        <v>453</v>
      </c>
      <c r="J26" s="97" t="s">
        <v>98</v>
      </c>
      <c r="K26" s="97" t="s">
        <v>98</v>
      </c>
      <c r="L26" s="542"/>
      <c r="M26" s="416">
        <v>45292</v>
      </c>
      <c r="N26" s="416"/>
      <c r="O26" s="415">
        <f>(O25+O27)/2</f>
        <v>13.375</v>
      </c>
      <c r="P26" s="97" t="s">
        <v>98</v>
      </c>
      <c r="Q26" s="97" t="s">
        <v>98</v>
      </c>
      <c r="R26" s="223">
        <v>0.05</v>
      </c>
      <c r="S26" s="132">
        <v>14.2</v>
      </c>
    </row>
    <row r="27" spans="1:19">
      <c r="A27" s="504"/>
      <c r="B27" s="155" t="s">
        <v>561</v>
      </c>
      <c r="C27" s="415">
        <v>16.47</v>
      </c>
      <c r="D27" s="157">
        <v>1</v>
      </c>
      <c r="E27" s="157"/>
      <c r="F27" s="157">
        <v>1</v>
      </c>
      <c r="G27" s="157" t="s">
        <v>453</v>
      </c>
      <c r="H27" s="157" t="s">
        <v>98</v>
      </c>
      <c r="I27" s="157" t="s">
        <v>453</v>
      </c>
      <c r="J27" s="157" t="s">
        <v>98</v>
      </c>
      <c r="K27" s="157" t="s">
        <v>98</v>
      </c>
      <c r="L27" s="541"/>
      <c r="M27" s="416">
        <v>45292</v>
      </c>
      <c r="N27" s="416"/>
      <c r="O27" s="415">
        <v>16.05</v>
      </c>
      <c r="P27" s="157" t="s">
        <v>98</v>
      </c>
      <c r="Q27" s="157" t="s">
        <v>98</v>
      </c>
      <c r="R27" s="223">
        <v>0.05</v>
      </c>
      <c r="S27" s="132"/>
    </row>
    <row r="28" spans="1:19">
      <c r="A28" s="504"/>
      <c r="B28" s="95" t="s">
        <v>562</v>
      </c>
      <c r="C28" s="415">
        <f>(C27+C29)/2</f>
        <v>19.22</v>
      </c>
      <c r="D28" s="97">
        <v>1</v>
      </c>
      <c r="E28" s="97"/>
      <c r="F28" s="97">
        <v>1</v>
      </c>
      <c r="G28" s="97" t="s">
        <v>453</v>
      </c>
      <c r="H28" s="97" t="s">
        <v>98</v>
      </c>
      <c r="I28" s="97" t="s">
        <v>453</v>
      </c>
      <c r="J28" s="97" t="s">
        <v>98</v>
      </c>
      <c r="K28" s="97" t="s">
        <v>98</v>
      </c>
      <c r="L28" s="542"/>
      <c r="M28" s="416">
        <v>45292</v>
      </c>
      <c r="N28" s="416"/>
      <c r="O28" s="415">
        <f>(O27+O29)/2</f>
        <v>18.73</v>
      </c>
      <c r="P28" s="97" t="s">
        <v>98</v>
      </c>
      <c r="Q28" s="97" t="s">
        <v>98</v>
      </c>
      <c r="R28" s="223">
        <v>0.05</v>
      </c>
      <c r="S28" s="132">
        <v>19.63</v>
      </c>
    </row>
    <row r="29" spans="1:19">
      <c r="A29" s="504"/>
      <c r="B29" s="155" t="s">
        <v>563</v>
      </c>
      <c r="C29" s="415">
        <v>21.97</v>
      </c>
      <c r="D29" s="157">
        <v>1</v>
      </c>
      <c r="E29" s="157"/>
      <c r="F29" s="157">
        <v>1</v>
      </c>
      <c r="G29" s="157" t="s">
        <v>453</v>
      </c>
      <c r="H29" s="157" t="s">
        <v>98</v>
      </c>
      <c r="I29" s="157" t="s">
        <v>453</v>
      </c>
      <c r="J29" s="157" t="s">
        <v>98</v>
      </c>
      <c r="K29" s="157" t="s">
        <v>98</v>
      </c>
      <c r="L29" s="541"/>
      <c r="M29" s="416">
        <v>45292</v>
      </c>
      <c r="N29" s="416"/>
      <c r="O29" s="415">
        <v>21.41</v>
      </c>
      <c r="P29" s="157" t="s">
        <v>98</v>
      </c>
      <c r="Q29" s="157" t="s">
        <v>98</v>
      </c>
      <c r="R29" s="223">
        <v>0.05</v>
      </c>
      <c r="S29" s="132"/>
    </row>
    <row r="30" spans="1:19">
      <c r="A30" s="504"/>
      <c r="B30" s="95" t="s">
        <v>564</v>
      </c>
      <c r="C30" s="415">
        <f>(C29+C31)/2</f>
        <v>24.71</v>
      </c>
      <c r="D30" s="97">
        <v>1</v>
      </c>
      <c r="E30" s="97"/>
      <c r="F30" s="97">
        <v>1</v>
      </c>
      <c r="G30" s="97" t="s">
        <v>453</v>
      </c>
      <c r="H30" s="97" t="s">
        <v>98</v>
      </c>
      <c r="I30" s="97" t="s">
        <v>453</v>
      </c>
      <c r="J30" s="97" t="s">
        <v>98</v>
      </c>
      <c r="K30" s="97" t="s">
        <v>98</v>
      </c>
      <c r="L30" s="542"/>
      <c r="M30" s="416">
        <v>45292</v>
      </c>
      <c r="N30" s="416"/>
      <c r="O30" s="415">
        <f>(O29+O31)/2</f>
        <v>24.08</v>
      </c>
      <c r="P30" s="97" t="s">
        <v>98</v>
      </c>
      <c r="Q30" s="97" t="s">
        <v>98</v>
      </c>
      <c r="R30" s="223">
        <v>0.05</v>
      </c>
      <c r="S30" s="132">
        <v>25.23</v>
      </c>
    </row>
    <row r="31" spans="1:19">
      <c r="A31" s="504"/>
      <c r="B31" s="155" t="s">
        <v>565</v>
      </c>
      <c r="C31" s="415">
        <v>27.45</v>
      </c>
      <c r="D31" s="157">
        <v>1</v>
      </c>
      <c r="E31" s="157"/>
      <c r="F31" s="157">
        <v>1</v>
      </c>
      <c r="G31" s="157" t="s">
        <v>453</v>
      </c>
      <c r="H31" s="157" t="s">
        <v>98</v>
      </c>
      <c r="I31" s="157" t="s">
        <v>453</v>
      </c>
      <c r="J31" s="157" t="s">
        <v>98</v>
      </c>
      <c r="K31" s="157" t="s">
        <v>98</v>
      </c>
      <c r="L31" s="541"/>
      <c r="M31" s="416">
        <v>45292</v>
      </c>
      <c r="N31" s="416"/>
      <c r="O31" s="415">
        <v>26.75</v>
      </c>
      <c r="P31" s="157" t="s">
        <v>98</v>
      </c>
      <c r="Q31" s="157" t="s">
        <v>98</v>
      </c>
      <c r="R31" s="223">
        <v>0.05</v>
      </c>
      <c r="S31" s="132"/>
    </row>
    <row r="32" spans="1:19">
      <c r="A32" s="504"/>
      <c r="B32" s="95" t="s">
        <v>568</v>
      </c>
      <c r="C32" s="415">
        <f>(C31+C33)/2</f>
        <v>30.204999999999998</v>
      </c>
      <c r="D32" s="97">
        <v>1</v>
      </c>
      <c r="E32" s="97"/>
      <c r="F32" s="97">
        <v>1</v>
      </c>
      <c r="G32" s="97" t="s">
        <v>453</v>
      </c>
      <c r="H32" s="97" t="s">
        <v>98</v>
      </c>
      <c r="I32" s="97" t="s">
        <v>453</v>
      </c>
      <c r="J32" s="97" t="s">
        <v>98</v>
      </c>
      <c r="K32" s="97" t="s">
        <v>98</v>
      </c>
      <c r="L32" s="542"/>
      <c r="M32" s="416">
        <v>45292</v>
      </c>
      <c r="N32" s="416"/>
      <c r="O32" s="415">
        <f>(O31+O33)/2</f>
        <v>29.434999999999999</v>
      </c>
      <c r="P32" s="97" t="s">
        <v>98</v>
      </c>
      <c r="Q32" s="97" t="s">
        <v>98</v>
      </c>
      <c r="R32" s="223">
        <v>0.05</v>
      </c>
      <c r="S32" s="132">
        <v>30.84</v>
      </c>
    </row>
    <row r="33" spans="1:19">
      <c r="A33" s="504"/>
      <c r="B33" s="155" t="s">
        <v>566</v>
      </c>
      <c r="C33" s="415">
        <v>32.96</v>
      </c>
      <c r="D33" s="157">
        <v>1</v>
      </c>
      <c r="E33" s="157"/>
      <c r="F33" s="157">
        <v>1</v>
      </c>
      <c r="G33" s="157" t="s">
        <v>453</v>
      </c>
      <c r="H33" s="157" t="s">
        <v>98</v>
      </c>
      <c r="I33" s="157" t="s">
        <v>453</v>
      </c>
      <c r="J33" s="157" t="s">
        <v>98</v>
      </c>
      <c r="K33" s="157" t="s">
        <v>98</v>
      </c>
      <c r="L33" s="541"/>
      <c r="M33" s="416">
        <v>45292</v>
      </c>
      <c r="N33" s="416"/>
      <c r="O33" s="415">
        <v>32.119999999999997</v>
      </c>
      <c r="P33" s="157" t="s">
        <v>98</v>
      </c>
      <c r="Q33" s="157" t="s">
        <v>98</v>
      </c>
      <c r="R33" s="223">
        <v>0.05</v>
      </c>
      <c r="S33" s="132"/>
    </row>
    <row r="34" spans="1:19">
      <c r="A34" s="504"/>
      <c r="B34" s="95" t="s">
        <v>569</v>
      </c>
      <c r="C34" s="415">
        <f>(C33+C35)/2</f>
        <v>35.695</v>
      </c>
      <c r="D34" s="97">
        <v>1</v>
      </c>
      <c r="E34" s="97"/>
      <c r="F34" s="97">
        <v>1</v>
      </c>
      <c r="G34" s="97" t="s">
        <v>453</v>
      </c>
      <c r="H34" s="97" t="s">
        <v>98</v>
      </c>
      <c r="I34" s="97" t="s">
        <v>453</v>
      </c>
      <c r="J34" s="97" t="s">
        <v>98</v>
      </c>
      <c r="K34" s="97" t="s">
        <v>98</v>
      </c>
      <c r="L34" s="542"/>
      <c r="M34" s="416">
        <v>45292</v>
      </c>
      <c r="N34" s="416"/>
      <c r="O34" s="415">
        <f>(O33+O35)/2</f>
        <v>34.79</v>
      </c>
      <c r="P34" s="97" t="s">
        <v>98</v>
      </c>
      <c r="Q34" s="97" t="s">
        <v>98</v>
      </c>
      <c r="R34" s="223">
        <v>0.05</v>
      </c>
      <c r="S34" s="132">
        <v>36.450000000000003</v>
      </c>
    </row>
    <row r="35" spans="1:19">
      <c r="A35" s="504"/>
      <c r="B35" s="155" t="s">
        <v>567</v>
      </c>
      <c r="C35" s="415">
        <v>38.43</v>
      </c>
      <c r="D35" s="157">
        <v>1</v>
      </c>
      <c r="E35" s="157"/>
      <c r="F35" s="157">
        <v>1</v>
      </c>
      <c r="G35" s="157" t="s">
        <v>453</v>
      </c>
      <c r="H35" s="157" t="s">
        <v>98</v>
      </c>
      <c r="I35" s="157" t="s">
        <v>453</v>
      </c>
      <c r="J35" s="157" t="s">
        <v>98</v>
      </c>
      <c r="K35" s="157" t="s">
        <v>98</v>
      </c>
      <c r="L35" s="541"/>
      <c r="M35" s="416">
        <v>45292</v>
      </c>
      <c r="N35" s="416"/>
      <c r="O35" s="415">
        <v>37.46</v>
      </c>
      <c r="P35" s="157" t="s">
        <v>98</v>
      </c>
      <c r="Q35" s="157" t="s">
        <v>98</v>
      </c>
      <c r="R35" s="223">
        <v>0.05</v>
      </c>
      <c r="S35" s="132"/>
    </row>
    <row r="36" spans="1:19">
      <c r="A36" s="504"/>
      <c r="B36" s="95" t="s">
        <v>570</v>
      </c>
      <c r="C36" s="415">
        <f>(C35+C37)/2</f>
        <v>41.18</v>
      </c>
      <c r="D36" s="97">
        <v>1</v>
      </c>
      <c r="E36" s="97"/>
      <c r="F36" s="97">
        <v>1</v>
      </c>
      <c r="G36" s="97" t="s">
        <v>453</v>
      </c>
      <c r="H36" s="97" t="s">
        <v>98</v>
      </c>
      <c r="I36" s="97" t="s">
        <v>453</v>
      </c>
      <c r="J36" s="97" t="s">
        <v>98</v>
      </c>
      <c r="K36" s="97" t="s">
        <v>98</v>
      </c>
      <c r="L36" s="542"/>
      <c r="M36" s="416">
        <v>45292</v>
      </c>
      <c r="N36" s="416"/>
      <c r="O36" s="415">
        <f>(O35+O37)/2</f>
        <v>40.14</v>
      </c>
      <c r="P36" s="97" t="s">
        <v>98</v>
      </c>
      <c r="Q36" s="97" t="s">
        <v>98</v>
      </c>
      <c r="R36" s="223">
        <v>0.05</v>
      </c>
      <c r="S36" s="132">
        <v>42.06</v>
      </c>
    </row>
    <row r="37" spans="1:19">
      <c r="A37" s="504"/>
      <c r="B37" s="155" t="s">
        <v>571</v>
      </c>
      <c r="C37" s="415">
        <v>43.93</v>
      </c>
      <c r="D37" s="157">
        <v>1</v>
      </c>
      <c r="E37" s="157"/>
      <c r="F37" s="157">
        <v>1</v>
      </c>
      <c r="G37" s="157" t="s">
        <v>453</v>
      </c>
      <c r="H37" s="157" t="s">
        <v>98</v>
      </c>
      <c r="I37" s="157" t="s">
        <v>453</v>
      </c>
      <c r="J37" s="157" t="s">
        <v>98</v>
      </c>
      <c r="K37" s="157" t="s">
        <v>98</v>
      </c>
      <c r="L37" s="541"/>
      <c r="M37" s="416">
        <v>45292</v>
      </c>
      <c r="N37" s="416"/>
      <c r="O37" s="415">
        <v>42.82</v>
      </c>
      <c r="P37" s="157" t="s">
        <v>98</v>
      </c>
      <c r="Q37" s="157" t="s">
        <v>98</v>
      </c>
      <c r="R37" s="223">
        <v>0.05</v>
      </c>
    </row>
    <row r="38" spans="1:19">
      <c r="A38" s="504"/>
      <c r="B38" s="155" t="s">
        <v>943</v>
      </c>
      <c r="C38" s="415">
        <f>(C37/O37)*O38</f>
        <v>46.679472209248011</v>
      </c>
      <c r="D38" s="157">
        <v>1</v>
      </c>
      <c r="E38" s="157"/>
      <c r="F38" s="157">
        <v>1</v>
      </c>
      <c r="G38" s="157" t="s">
        <v>453</v>
      </c>
      <c r="H38" s="157" t="s">
        <v>98</v>
      </c>
      <c r="I38" s="157" t="s">
        <v>453</v>
      </c>
      <c r="J38" s="157" t="s">
        <v>98</v>
      </c>
      <c r="K38" s="157" t="s">
        <v>98</v>
      </c>
      <c r="L38" s="541"/>
      <c r="M38" s="416">
        <v>45292</v>
      </c>
      <c r="N38" s="416"/>
      <c r="O38" s="415">
        <v>45.5</v>
      </c>
      <c r="P38" s="157" t="s">
        <v>98</v>
      </c>
      <c r="Q38" s="157" t="s">
        <v>98</v>
      </c>
      <c r="R38" s="223">
        <v>0.05</v>
      </c>
    </row>
    <row r="39" spans="1:19">
      <c r="A39" s="504"/>
      <c r="B39" s="155" t="s">
        <v>944</v>
      </c>
      <c r="C39" s="415">
        <f t="shared" ref="C39:C42" si="1">(C38/O38)*O39</f>
        <v>49.449462867818774</v>
      </c>
      <c r="D39" s="157">
        <v>1</v>
      </c>
      <c r="E39" s="157"/>
      <c r="F39" s="157">
        <v>1</v>
      </c>
      <c r="G39" s="157" t="s">
        <v>453</v>
      </c>
      <c r="H39" s="157" t="s">
        <v>98</v>
      </c>
      <c r="I39" s="157" t="s">
        <v>453</v>
      </c>
      <c r="J39" s="157" t="s">
        <v>98</v>
      </c>
      <c r="K39" s="157" t="s">
        <v>98</v>
      </c>
      <c r="L39" s="541"/>
      <c r="M39" s="416">
        <v>45292</v>
      </c>
      <c r="N39" s="416"/>
      <c r="O39" s="415">
        <v>48.2</v>
      </c>
      <c r="P39" s="157" t="s">
        <v>98</v>
      </c>
      <c r="Q39" s="157" t="s">
        <v>98</v>
      </c>
      <c r="R39" s="223">
        <v>0.05</v>
      </c>
    </row>
    <row r="40" spans="1:19">
      <c r="A40" s="504"/>
      <c r="B40" s="155" t="s">
        <v>945</v>
      </c>
      <c r="C40" s="415">
        <f t="shared" si="1"/>
        <v>52.116861279775797</v>
      </c>
      <c r="D40" s="157">
        <v>1</v>
      </c>
      <c r="E40" s="157"/>
      <c r="F40" s="157">
        <v>1</v>
      </c>
      <c r="G40" s="157" t="s">
        <v>453</v>
      </c>
      <c r="H40" s="157" t="s">
        <v>98</v>
      </c>
      <c r="I40" s="157" t="s">
        <v>453</v>
      </c>
      <c r="J40" s="157" t="s">
        <v>98</v>
      </c>
      <c r="K40" s="157" t="s">
        <v>98</v>
      </c>
      <c r="L40" s="541"/>
      <c r="M40" s="416">
        <v>45292</v>
      </c>
      <c r="N40" s="416"/>
      <c r="O40" s="415">
        <v>50.8</v>
      </c>
      <c r="P40" s="157" t="s">
        <v>98</v>
      </c>
      <c r="Q40" s="157" t="s">
        <v>98</v>
      </c>
      <c r="R40" s="223">
        <v>0.05</v>
      </c>
    </row>
    <row r="41" spans="1:19">
      <c r="A41" s="504"/>
      <c r="B41" s="155" t="s">
        <v>946</v>
      </c>
      <c r="C41" s="415">
        <f t="shared" si="1"/>
        <v>54.886851938346567</v>
      </c>
      <c r="D41" s="157">
        <v>1</v>
      </c>
      <c r="E41" s="157"/>
      <c r="F41" s="157">
        <v>1</v>
      </c>
      <c r="G41" s="157" t="s">
        <v>453</v>
      </c>
      <c r="H41" s="157" t="s">
        <v>98</v>
      </c>
      <c r="I41" s="157" t="s">
        <v>453</v>
      </c>
      <c r="J41" s="157" t="s">
        <v>98</v>
      </c>
      <c r="K41" s="157" t="s">
        <v>98</v>
      </c>
      <c r="L41" s="541"/>
      <c r="M41" s="416">
        <v>45292</v>
      </c>
      <c r="N41" s="416"/>
      <c r="O41" s="415">
        <v>53.5</v>
      </c>
      <c r="P41" s="157" t="s">
        <v>98</v>
      </c>
      <c r="Q41" s="157" t="s">
        <v>98</v>
      </c>
      <c r="R41" s="223">
        <v>0.05</v>
      </c>
    </row>
    <row r="42" spans="1:19">
      <c r="A42" s="504"/>
      <c r="B42" s="155" t="s">
        <v>947</v>
      </c>
      <c r="C42" s="415">
        <f t="shared" si="1"/>
        <v>68.63421298458664</v>
      </c>
      <c r="D42" s="157">
        <v>1</v>
      </c>
      <c r="E42" s="157"/>
      <c r="F42" s="157">
        <v>1</v>
      </c>
      <c r="G42" s="157" t="s">
        <v>453</v>
      </c>
      <c r="H42" s="157" t="s">
        <v>98</v>
      </c>
      <c r="I42" s="157" t="s">
        <v>453</v>
      </c>
      <c r="J42" s="157" t="s">
        <v>98</v>
      </c>
      <c r="K42" s="157" t="s">
        <v>98</v>
      </c>
      <c r="L42" s="541"/>
      <c r="M42" s="416">
        <v>45292</v>
      </c>
      <c r="N42" s="416"/>
      <c r="O42" s="415">
        <v>66.900000000000006</v>
      </c>
      <c r="P42" s="157" t="s">
        <v>98</v>
      </c>
      <c r="Q42" s="157" t="s">
        <v>98</v>
      </c>
      <c r="R42" s="223">
        <v>0.05</v>
      </c>
    </row>
    <row r="43" spans="1:19">
      <c r="A43" s="504"/>
      <c r="B43" s="95" t="s">
        <v>98</v>
      </c>
      <c r="C43" s="97"/>
      <c r="D43" s="97"/>
      <c r="E43" s="97"/>
      <c r="F43" s="98"/>
      <c r="G43" s="97"/>
      <c r="H43" s="97"/>
      <c r="I43" s="97"/>
      <c r="J43" s="97"/>
      <c r="K43" s="97"/>
      <c r="L43" s="542"/>
      <c r="O43" s="97"/>
      <c r="P43" s="97"/>
      <c r="Q43" s="97"/>
    </row>
    <row r="44" spans="1:19">
      <c r="A44" s="504"/>
      <c r="B44" s="155" t="s">
        <v>572</v>
      </c>
      <c r="C44" s="193">
        <f>132.33/F44</f>
        <v>12.602857142857143</v>
      </c>
      <c r="D44" s="157">
        <v>1</v>
      </c>
      <c r="E44" s="156"/>
      <c r="F44" s="159">
        <v>10.5</v>
      </c>
      <c r="G44" s="157" t="s">
        <v>453</v>
      </c>
      <c r="H44" s="157" t="s">
        <v>98</v>
      </c>
      <c r="I44" s="157" t="s">
        <v>453</v>
      </c>
      <c r="J44" s="157" t="s">
        <v>98</v>
      </c>
      <c r="K44" s="157" t="s">
        <v>98</v>
      </c>
      <c r="L44" s="541"/>
      <c r="M44" s="160">
        <v>44927</v>
      </c>
      <c r="N44" s="160"/>
      <c r="O44" s="193">
        <f>132.33/R44</f>
        <v>1323.3</v>
      </c>
      <c r="P44" s="157" t="s">
        <v>98</v>
      </c>
      <c r="Q44" s="157" t="s">
        <v>98</v>
      </c>
      <c r="R44" s="223">
        <v>0.1</v>
      </c>
    </row>
    <row r="45" spans="1:19">
      <c r="A45" s="504"/>
      <c r="B45" s="155" t="s">
        <v>573</v>
      </c>
      <c r="C45" s="415">
        <v>17.77</v>
      </c>
      <c r="D45" s="157">
        <v>1</v>
      </c>
      <c r="E45" s="156"/>
      <c r="F45" s="417">
        <v>7.5</v>
      </c>
      <c r="G45" s="157" t="s">
        <v>453</v>
      </c>
      <c r="H45" s="157" t="s">
        <v>98</v>
      </c>
      <c r="I45" s="157" t="s">
        <v>453</v>
      </c>
      <c r="J45" s="157" t="s">
        <v>98</v>
      </c>
      <c r="K45" s="157" t="s">
        <v>98</v>
      </c>
      <c r="L45" s="541"/>
      <c r="M45" s="416">
        <v>45292</v>
      </c>
      <c r="N45" s="416"/>
      <c r="O45" s="415">
        <v>17.350000000000001</v>
      </c>
      <c r="P45" s="157" t="s">
        <v>98</v>
      </c>
      <c r="Q45" s="157" t="s">
        <v>98</v>
      </c>
      <c r="R45" s="223">
        <v>0.1</v>
      </c>
    </row>
    <row r="46" spans="1:19">
      <c r="A46" s="504"/>
      <c r="B46" s="155" t="s">
        <v>574</v>
      </c>
      <c r="C46" s="193">
        <f>125.98/F46</f>
        <v>20.996666666666666</v>
      </c>
      <c r="D46" s="157">
        <v>1</v>
      </c>
      <c r="E46" s="156"/>
      <c r="F46" s="158">
        <v>6</v>
      </c>
      <c r="G46" s="157" t="s">
        <v>453</v>
      </c>
      <c r="H46" s="157" t="s">
        <v>98</v>
      </c>
      <c r="I46" s="157" t="s">
        <v>453</v>
      </c>
      <c r="J46" s="157" t="s">
        <v>98</v>
      </c>
      <c r="K46" s="157" t="s">
        <v>98</v>
      </c>
      <c r="L46" s="541"/>
      <c r="M46" s="160">
        <v>44927</v>
      </c>
      <c r="N46" s="160"/>
      <c r="O46" s="193">
        <f>125.98/R46</f>
        <v>1259.8</v>
      </c>
      <c r="P46" s="157" t="s">
        <v>98</v>
      </c>
      <c r="Q46" s="157" t="s">
        <v>98</v>
      </c>
      <c r="R46" s="223">
        <v>0.1</v>
      </c>
    </row>
    <row r="47" spans="1:19">
      <c r="A47" s="504"/>
      <c r="B47" s="155" t="s">
        <v>575</v>
      </c>
      <c r="C47" s="415">
        <v>26.74</v>
      </c>
      <c r="D47" s="157">
        <v>1</v>
      </c>
      <c r="E47" s="156"/>
      <c r="F47" s="417">
        <v>5.25</v>
      </c>
      <c r="G47" s="157" t="s">
        <v>453</v>
      </c>
      <c r="H47" s="157" t="s">
        <v>98</v>
      </c>
      <c r="I47" s="157" t="s">
        <v>453</v>
      </c>
      <c r="J47" s="157" t="s">
        <v>98</v>
      </c>
      <c r="K47" s="157" t="s">
        <v>98</v>
      </c>
      <c r="L47" s="541"/>
      <c r="M47" s="416">
        <v>45292</v>
      </c>
      <c r="N47" s="416"/>
      <c r="O47" s="415">
        <v>26.06</v>
      </c>
      <c r="P47" s="157" t="s">
        <v>98</v>
      </c>
      <c r="Q47" s="157" t="s">
        <v>98</v>
      </c>
      <c r="R47" s="223">
        <v>0.1</v>
      </c>
    </row>
    <row r="48" spans="1:19">
      <c r="A48" s="504"/>
      <c r="B48" s="155" t="s">
        <v>576</v>
      </c>
      <c r="C48" s="415">
        <v>35.659999999999997</v>
      </c>
      <c r="D48" s="157">
        <v>1</v>
      </c>
      <c r="E48" s="156"/>
      <c r="F48" s="417">
        <v>3.75</v>
      </c>
      <c r="G48" s="157" t="s">
        <v>453</v>
      </c>
      <c r="H48" s="157" t="s">
        <v>98</v>
      </c>
      <c r="I48" s="157" t="s">
        <v>453</v>
      </c>
      <c r="J48" s="157" t="s">
        <v>98</v>
      </c>
      <c r="K48" s="157" t="s">
        <v>98</v>
      </c>
      <c r="L48" s="541"/>
      <c r="M48" s="416">
        <v>45292</v>
      </c>
      <c r="N48" s="416"/>
      <c r="O48" s="415">
        <v>34.74</v>
      </c>
      <c r="P48" s="157" t="s">
        <v>98</v>
      </c>
      <c r="Q48" s="157" t="s">
        <v>98</v>
      </c>
      <c r="R48" s="223">
        <v>0.1</v>
      </c>
    </row>
    <row r="49" spans="1:20">
      <c r="A49" s="504"/>
      <c r="B49" s="155" t="s">
        <v>577</v>
      </c>
      <c r="C49" s="415">
        <v>44.54</v>
      </c>
      <c r="D49" s="157">
        <v>1</v>
      </c>
      <c r="E49" s="156"/>
      <c r="F49" s="417">
        <v>3</v>
      </c>
      <c r="G49" s="157" t="s">
        <v>453</v>
      </c>
      <c r="H49" s="157" t="s">
        <v>98</v>
      </c>
      <c r="I49" s="157" t="s">
        <v>453</v>
      </c>
      <c r="J49" s="157" t="s">
        <v>98</v>
      </c>
      <c r="K49" s="157" t="s">
        <v>98</v>
      </c>
      <c r="L49" s="541"/>
      <c r="M49" s="416">
        <v>45383</v>
      </c>
      <c r="N49" s="416"/>
      <c r="O49" s="415">
        <v>43.42</v>
      </c>
      <c r="P49" s="157" t="s">
        <v>98</v>
      </c>
      <c r="Q49" s="157" t="s">
        <v>98</v>
      </c>
      <c r="R49" s="223">
        <v>0.1</v>
      </c>
    </row>
    <row r="50" spans="1:20">
      <c r="A50" s="504"/>
      <c r="B50" s="155" t="s">
        <v>578</v>
      </c>
      <c r="C50" s="415">
        <v>49.24</v>
      </c>
      <c r="D50" s="157">
        <v>1</v>
      </c>
      <c r="E50" s="156"/>
      <c r="F50" s="417">
        <v>2.25</v>
      </c>
      <c r="G50" s="157" t="s">
        <v>453</v>
      </c>
      <c r="H50" s="157" t="s">
        <v>98</v>
      </c>
      <c r="I50" s="157" t="s">
        <v>453</v>
      </c>
      <c r="J50" s="157" t="s">
        <v>98</v>
      </c>
      <c r="K50" s="157" t="s">
        <v>98</v>
      </c>
      <c r="L50" s="541"/>
      <c r="M50" s="416">
        <v>45292</v>
      </c>
      <c r="N50" s="416"/>
      <c r="O50" s="415">
        <v>48.05</v>
      </c>
      <c r="P50" s="157" t="s">
        <v>98</v>
      </c>
      <c r="Q50" s="157" t="s">
        <v>98</v>
      </c>
      <c r="R50" s="223">
        <v>0.1</v>
      </c>
    </row>
    <row r="51" spans="1:20">
      <c r="A51" s="504"/>
      <c r="B51" s="107" t="s">
        <v>98</v>
      </c>
      <c r="C51" s="96"/>
      <c r="D51" s="97"/>
      <c r="E51" s="96"/>
      <c r="F51" s="98"/>
      <c r="G51" s="97"/>
      <c r="H51" s="97"/>
      <c r="I51" s="97"/>
      <c r="J51" s="97"/>
      <c r="K51" s="97"/>
      <c r="L51" s="542"/>
      <c r="O51" s="96"/>
      <c r="P51" s="97"/>
      <c r="Q51" s="97"/>
    </row>
    <row r="52" spans="1:20">
      <c r="A52" s="504"/>
      <c r="B52" s="155" t="s">
        <v>590</v>
      </c>
      <c r="C52" s="415">
        <v>20.78</v>
      </c>
      <c r="D52" s="157">
        <v>1</v>
      </c>
      <c r="E52" s="157"/>
      <c r="F52" s="417">
        <v>7.2</v>
      </c>
      <c r="G52" s="157" t="s">
        <v>453</v>
      </c>
      <c r="H52" s="157" t="s">
        <v>98</v>
      </c>
      <c r="I52" s="157" t="s">
        <v>453</v>
      </c>
      <c r="J52" s="415">
        <f>C52*F52</f>
        <v>149.61600000000001</v>
      </c>
      <c r="K52" s="193">
        <f>J52</f>
        <v>149.61600000000001</v>
      </c>
      <c r="L52" s="543"/>
      <c r="M52" s="416">
        <v>45292</v>
      </c>
      <c r="N52" s="416"/>
      <c r="O52" s="415">
        <v>20.25</v>
      </c>
      <c r="P52" s="415">
        <v>145.77000000000001</v>
      </c>
      <c r="Q52" s="193">
        <f>P52</f>
        <v>145.77000000000001</v>
      </c>
      <c r="T52" s="78">
        <v>19.559999999999999</v>
      </c>
    </row>
    <row r="53" spans="1:20">
      <c r="A53" s="504"/>
      <c r="B53" s="155" t="s">
        <v>591</v>
      </c>
      <c r="C53" s="415">
        <v>30.96</v>
      </c>
      <c r="D53" s="157">
        <v>1</v>
      </c>
      <c r="E53" s="157"/>
      <c r="F53" s="417">
        <v>7.2</v>
      </c>
      <c r="G53" s="157" t="s">
        <v>453</v>
      </c>
      <c r="H53" s="157" t="s">
        <v>98</v>
      </c>
      <c r="I53" s="157" t="s">
        <v>453</v>
      </c>
      <c r="J53" s="415">
        <f t="shared" ref="J53:J57" si="2">C53*F53</f>
        <v>222.91200000000001</v>
      </c>
      <c r="K53" s="193">
        <f t="shared" ref="K53:K57" si="3">J53</f>
        <v>222.91200000000001</v>
      </c>
      <c r="L53" s="543"/>
      <c r="M53" s="416">
        <v>45292</v>
      </c>
      <c r="N53" s="416"/>
      <c r="O53" s="415">
        <v>30.18</v>
      </c>
      <c r="P53" s="415">
        <v>217.3</v>
      </c>
      <c r="Q53" s="193">
        <f t="shared" ref="Q53:Q57" si="4">P53</f>
        <v>217.3</v>
      </c>
      <c r="T53" s="78">
        <v>29.16</v>
      </c>
    </row>
    <row r="54" spans="1:20">
      <c r="A54" s="504"/>
      <c r="B54" s="155" t="s">
        <v>592</v>
      </c>
      <c r="C54" s="415">
        <v>41.16</v>
      </c>
      <c r="D54" s="157">
        <v>1</v>
      </c>
      <c r="E54" s="157"/>
      <c r="F54" s="417">
        <v>3.6</v>
      </c>
      <c r="G54" s="157" t="s">
        <v>453</v>
      </c>
      <c r="H54" s="157" t="s">
        <v>98</v>
      </c>
      <c r="I54" s="157" t="s">
        <v>453</v>
      </c>
      <c r="J54" s="415">
        <f t="shared" si="2"/>
        <v>148.17599999999999</v>
      </c>
      <c r="K54" s="193">
        <f t="shared" si="3"/>
        <v>148.17599999999999</v>
      </c>
      <c r="L54" s="543"/>
      <c r="M54" s="416">
        <v>45292</v>
      </c>
      <c r="N54" s="416"/>
      <c r="O54" s="415">
        <v>40.119999999999997</v>
      </c>
      <c r="P54" s="415">
        <v>144.41999999999999</v>
      </c>
      <c r="Q54" s="193">
        <f t="shared" si="4"/>
        <v>144.41999999999999</v>
      </c>
      <c r="T54" s="78">
        <v>38.76</v>
      </c>
    </row>
    <row r="55" spans="1:20">
      <c r="A55" s="504"/>
      <c r="B55" s="155" t="s">
        <v>593</v>
      </c>
      <c r="C55" s="415">
        <v>51.35</v>
      </c>
      <c r="D55" s="157">
        <v>1</v>
      </c>
      <c r="E55" s="157"/>
      <c r="F55" s="417">
        <v>2.88</v>
      </c>
      <c r="G55" s="157" t="s">
        <v>453</v>
      </c>
      <c r="H55" s="157" t="s">
        <v>98</v>
      </c>
      <c r="I55" s="157" t="s">
        <v>453</v>
      </c>
      <c r="J55" s="415">
        <f t="shared" si="2"/>
        <v>147.88800000000001</v>
      </c>
      <c r="K55" s="193">
        <f t="shared" si="3"/>
        <v>147.88800000000001</v>
      </c>
      <c r="L55" s="543"/>
      <c r="M55" s="416">
        <v>45292</v>
      </c>
      <c r="N55" s="416"/>
      <c r="O55" s="415">
        <v>50.05</v>
      </c>
      <c r="P55" s="415">
        <v>144.15</v>
      </c>
      <c r="Q55" s="193">
        <f t="shared" si="4"/>
        <v>144.15</v>
      </c>
      <c r="T55" s="78">
        <v>48.36</v>
      </c>
    </row>
    <row r="56" spans="1:20">
      <c r="A56" s="504"/>
      <c r="B56" s="155" t="s">
        <v>594</v>
      </c>
      <c r="C56" s="415">
        <v>61.98</v>
      </c>
      <c r="D56" s="157">
        <v>1</v>
      </c>
      <c r="E56" s="157"/>
      <c r="F56" s="417">
        <v>3.6</v>
      </c>
      <c r="G56" s="157" t="s">
        <v>453</v>
      </c>
      <c r="H56" s="157" t="s">
        <v>98</v>
      </c>
      <c r="I56" s="157" t="s">
        <v>453</v>
      </c>
      <c r="J56" s="415">
        <f t="shared" si="2"/>
        <v>223.12799999999999</v>
      </c>
      <c r="K56" s="193">
        <f t="shared" si="3"/>
        <v>223.12799999999999</v>
      </c>
      <c r="L56" s="543"/>
      <c r="M56" s="416">
        <v>45292</v>
      </c>
      <c r="N56" s="416"/>
      <c r="O56" s="415">
        <v>60.41</v>
      </c>
      <c r="P56" s="415">
        <v>217.47</v>
      </c>
      <c r="Q56" s="193">
        <f t="shared" si="4"/>
        <v>217.47</v>
      </c>
      <c r="T56" s="78">
        <v>58.37</v>
      </c>
    </row>
    <row r="57" spans="1:20">
      <c r="A57" s="504"/>
      <c r="B57" s="155" t="s">
        <v>595</v>
      </c>
      <c r="C57" s="415">
        <v>71.12</v>
      </c>
      <c r="D57" s="157">
        <v>1</v>
      </c>
      <c r="E57" s="157"/>
      <c r="F57" s="417">
        <v>2.16</v>
      </c>
      <c r="G57" s="157" t="s">
        <v>453</v>
      </c>
      <c r="H57" s="157" t="s">
        <v>98</v>
      </c>
      <c r="I57" s="157" t="s">
        <v>453</v>
      </c>
      <c r="J57" s="415">
        <f t="shared" si="2"/>
        <v>153.61920000000001</v>
      </c>
      <c r="K57" s="193">
        <f t="shared" si="3"/>
        <v>153.61920000000001</v>
      </c>
      <c r="L57" s="543"/>
      <c r="M57" s="416">
        <v>45292</v>
      </c>
      <c r="N57" s="416"/>
      <c r="O57" s="415">
        <v>69.459999999999994</v>
      </c>
      <c r="P57" s="415">
        <v>150.03</v>
      </c>
      <c r="Q57" s="193">
        <f t="shared" si="4"/>
        <v>150.03</v>
      </c>
      <c r="T57" s="78">
        <v>67.11</v>
      </c>
    </row>
    <row r="58" spans="1:20">
      <c r="A58" s="504"/>
      <c r="B58" s="95" t="s">
        <v>98</v>
      </c>
      <c r="C58" s="96"/>
      <c r="D58" s="97"/>
      <c r="E58" s="97"/>
      <c r="F58" s="98"/>
      <c r="G58" s="97"/>
      <c r="H58" s="97"/>
      <c r="I58" s="97"/>
      <c r="J58" s="97"/>
      <c r="K58" s="97"/>
      <c r="L58" s="542"/>
      <c r="O58" s="96"/>
      <c r="P58" s="97"/>
      <c r="Q58" s="97"/>
    </row>
    <row r="59" spans="1:20">
      <c r="A59" s="504"/>
      <c r="B59" s="155" t="s">
        <v>597</v>
      </c>
      <c r="C59" s="415">
        <v>27.33</v>
      </c>
      <c r="D59" s="157">
        <v>1</v>
      </c>
      <c r="E59" s="157"/>
      <c r="F59" s="419">
        <v>3.6</v>
      </c>
      <c r="G59" s="157" t="s">
        <v>453</v>
      </c>
      <c r="H59" s="157" t="s">
        <v>98</v>
      </c>
      <c r="I59" s="157" t="s">
        <v>453</v>
      </c>
      <c r="J59" s="415">
        <v>98.39</v>
      </c>
      <c r="K59" s="193">
        <f t="shared" ref="K59:K73" si="5">J59</f>
        <v>98.39</v>
      </c>
      <c r="L59" s="543"/>
      <c r="M59" s="416">
        <v>45292</v>
      </c>
      <c r="N59" s="416"/>
      <c r="O59" s="415" t="e">
        <f>V59/R59</f>
        <v>#DIV/0!</v>
      </c>
      <c r="P59" s="415">
        <v>98.39</v>
      </c>
      <c r="Q59" s="193">
        <f t="shared" ref="Q59:Q73" si="6">P59</f>
        <v>98.39</v>
      </c>
      <c r="R59" s="143"/>
      <c r="T59" s="418">
        <v>26.849999999999998</v>
      </c>
    </row>
    <row r="60" spans="1:20">
      <c r="A60" s="504"/>
      <c r="B60" s="155" t="s">
        <v>949</v>
      </c>
      <c r="C60" s="193">
        <f>J60/F60</f>
        <v>35.141666666666666</v>
      </c>
      <c r="D60" s="157">
        <v>1</v>
      </c>
      <c r="E60" s="157"/>
      <c r="F60" s="419">
        <v>3</v>
      </c>
      <c r="G60" s="157" t="s">
        <v>453</v>
      </c>
      <c r="H60" s="157" t="s">
        <v>98</v>
      </c>
      <c r="I60" s="157" t="s">
        <v>453</v>
      </c>
      <c r="J60" s="415">
        <f>(J59+J61)/2</f>
        <v>105.425</v>
      </c>
      <c r="K60" s="193">
        <f t="shared" si="5"/>
        <v>105.425</v>
      </c>
      <c r="L60" s="543"/>
      <c r="M60" s="416">
        <v>45352</v>
      </c>
      <c r="N60" s="416"/>
      <c r="O60" s="415" t="e">
        <f>V60/R60</f>
        <v>#DIV/0!</v>
      </c>
      <c r="P60" s="415">
        <f>(P59+P61)/2</f>
        <v>105.425</v>
      </c>
      <c r="Q60" s="193">
        <f t="shared" si="6"/>
        <v>105.425</v>
      </c>
      <c r="R60" s="143"/>
      <c r="T60" s="418">
        <v>30.52</v>
      </c>
    </row>
    <row r="61" spans="1:20">
      <c r="A61" s="504"/>
      <c r="B61" s="155" t="s">
        <v>598</v>
      </c>
      <c r="C61" s="415">
        <v>37.49</v>
      </c>
      <c r="D61" s="157">
        <v>1</v>
      </c>
      <c r="E61" s="157"/>
      <c r="F61" s="419">
        <v>3</v>
      </c>
      <c r="G61" s="157" t="s">
        <v>453</v>
      </c>
      <c r="H61" s="157" t="s">
        <v>98</v>
      </c>
      <c r="I61" s="157" t="s">
        <v>453</v>
      </c>
      <c r="J61" s="415">
        <v>112.46</v>
      </c>
      <c r="K61" s="193">
        <f t="shared" si="5"/>
        <v>112.46</v>
      </c>
      <c r="L61" s="543"/>
      <c r="M61" s="416">
        <v>45292</v>
      </c>
      <c r="N61" s="416"/>
      <c r="O61" s="415" t="e">
        <f>V61/R61</f>
        <v>#DIV/0!</v>
      </c>
      <c r="P61" s="415">
        <v>112.46</v>
      </c>
      <c r="Q61" s="193">
        <f t="shared" si="6"/>
        <v>112.46</v>
      </c>
      <c r="R61" s="143"/>
      <c r="T61" s="418">
        <v>35.300000000000004</v>
      </c>
    </row>
    <row r="62" spans="1:20">
      <c r="A62" s="504"/>
      <c r="B62" s="155" t="s">
        <v>599</v>
      </c>
      <c r="C62" s="415">
        <v>48.17</v>
      </c>
      <c r="D62" s="157">
        <v>1</v>
      </c>
      <c r="E62" s="157"/>
      <c r="F62" s="419">
        <v>1.8</v>
      </c>
      <c r="G62" s="157" t="s">
        <v>453</v>
      </c>
      <c r="H62" s="157" t="s">
        <v>98</v>
      </c>
      <c r="I62" s="157" t="s">
        <v>453</v>
      </c>
      <c r="J62" s="415">
        <v>86.71</v>
      </c>
      <c r="K62" s="193">
        <f t="shared" si="5"/>
        <v>86.71</v>
      </c>
      <c r="L62" s="543"/>
      <c r="M62" s="416">
        <v>45292</v>
      </c>
      <c r="N62" s="416"/>
      <c r="O62" s="415" t="e">
        <f t="shared" ref="O62:O73" si="7">V62/R62</f>
        <v>#DIV/0!</v>
      </c>
      <c r="P62" s="415">
        <v>86.71</v>
      </c>
      <c r="Q62" s="193">
        <f t="shared" si="6"/>
        <v>86.71</v>
      </c>
      <c r="R62" s="143"/>
      <c r="T62" s="418">
        <v>45.361111111111114</v>
      </c>
    </row>
    <row r="63" spans="1:20">
      <c r="A63" s="504"/>
      <c r="B63" s="155" t="s">
        <v>600</v>
      </c>
      <c r="C63" s="415">
        <v>57.99</v>
      </c>
      <c r="D63" s="157">
        <v>1</v>
      </c>
      <c r="E63" s="157"/>
      <c r="F63" s="419">
        <v>1.8</v>
      </c>
      <c r="G63" s="157" t="s">
        <v>453</v>
      </c>
      <c r="H63" s="157" t="s">
        <v>98</v>
      </c>
      <c r="I63" s="157" t="s">
        <v>453</v>
      </c>
      <c r="J63" s="415">
        <v>104.39</v>
      </c>
      <c r="K63" s="193">
        <f t="shared" si="5"/>
        <v>104.39</v>
      </c>
      <c r="L63" s="543"/>
      <c r="M63" s="416">
        <v>45292</v>
      </c>
      <c r="N63" s="416"/>
      <c r="O63" s="415" t="e">
        <f>V63/R63</f>
        <v>#DIV/0!</v>
      </c>
      <c r="P63" s="415">
        <v>104.39</v>
      </c>
      <c r="Q63" s="193">
        <f t="shared" si="6"/>
        <v>104.39</v>
      </c>
      <c r="R63" s="143"/>
      <c r="T63" s="418">
        <v>54.611111111111107</v>
      </c>
    </row>
    <row r="64" spans="1:20">
      <c r="A64" s="504"/>
      <c r="B64" s="155" t="s">
        <v>601</v>
      </c>
      <c r="C64" s="415">
        <v>65</v>
      </c>
      <c r="D64" s="157">
        <v>1</v>
      </c>
      <c r="E64" s="157"/>
      <c r="F64" s="419">
        <v>1.8</v>
      </c>
      <c r="G64" s="157" t="s">
        <v>453</v>
      </c>
      <c r="H64" s="157" t="s">
        <v>98</v>
      </c>
      <c r="I64" s="157" t="s">
        <v>453</v>
      </c>
      <c r="J64" s="415">
        <v>117.01</v>
      </c>
      <c r="K64" s="193">
        <f t="shared" si="5"/>
        <v>117.01</v>
      </c>
      <c r="L64" s="543"/>
      <c r="M64" s="416">
        <v>45292</v>
      </c>
      <c r="N64" s="416"/>
      <c r="O64" s="415" t="e">
        <f t="shared" si="7"/>
        <v>#DIV/0!</v>
      </c>
      <c r="P64" s="415">
        <v>117.01</v>
      </c>
      <c r="Q64" s="193">
        <f t="shared" si="6"/>
        <v>117.01</v>
      </c>
      <c r="R64" s="143"/>
      <c r="T64" s="418">
        <v>61.211111111111116</v>
      </c>
    </row>
    <row r="65" spans="1:21">
      <c r="A65" s="504"/>
      <c r="B65" s="155" t="s">
        <v>602</v>
      </c>
      <c r="C65" s="415">
        <v>75.150000000000006</v>
      </c>
      <c r="D65" s="157">
        <v>1</v>
      </c>
      <c r="E65" s="157"/>
      <c r="F65" s="419">
        <v>1.2</v>
      </c>
      <c r="G65" s="157" t="s">
        <v>453</v>
      </c>
      <c r="H65" s="157" t="s">
        <v>98</v>
      </c>
      <c r="I65" s="157" t="s">
        <v>453</v>
      </c>
      <c r="J65" s="415">
        <v>90.19</v>
      </c>
      <c r="K65" s="193">
        <f t="shared" si="5"/>
        <v>90.19</v>
      </c>
      <c r="L65" s="543"/>
      <c r="M65" s="416">
        <v>45292</v>
      </c>
      <c r="N65" s="416"/>
      <c r="O65" s="415" t="e">
        <f t="shared" si="7"/>
        <v>#DIV/0!</v>
      </c>
      <c r="P65" s="415">
        <v>90.19</v>
      </c>
      <c r="Q65" s="193">
        <f t="shared" si="6"/>
        <v>90.19</v>
      </c>
      <c r="R65" s="143"/>
      <c r="T65" s="418">
        <v>70.775000000000006</v>
      </c>
    </row>
    <row r="66" spans="1:21">
      <c r="A66" s="504"/>
      <c r="B66" s="155" t="s">
        <v>603</v>
      </c>
      <c r="C66" s="415">
        <v>88.12</v>
      </c>
      <c r="D66" s="157">
        <v>1</v>
      </c>
      <c r="E66" s="157"/>
      <c r="F66" s="419">
        <v>1.2</v>
      </c>
      <c r="G66" s="157" t="s">
        <v>453</v>
      </c>
      <c r="H66" s="157" t="s">
        <v>98</v>
      </c>
      <c r="I66" s="157" t="s">
        <v>453</v>
      </c>
      <c r="J66" s="415">
        <v>105.74</v>
      </c>
      <c r="K66" s="193">
        <f t="shared" si="5"/>
        <v>105.74</v>
      </c>
      <c r="L66" s="543"/>
      <c r="M66" s="416">
        <v>45292</v>
      </c>
      <c r="N66" s="416"/>
      <c r="O66" s="415" t="e">
        <f t="shared" si="7"/>
        <v>#DIV/0!</v>
      </c>
      <c r="P66" s="415">
        <v>105.74</v>
      </c>
      <c r="Q66" s="193">
        <f t="shared" si="6"/>
        <v>105.74</v>
      </c>
      <c r="R66" s="143"/>
      <c r="T66" s="418">
        <v>82.983333333333334</v>
      </c>
    </row>
    <row r="67" spans="1:21">
      <c r="A67" s="504"/>
      <c r="B67" s="155" t="s">
        <v>604</v>
      </c>
      <c r="C67" s="415">
        <v>102.83</v>
      </c>
      <c r="D67" s="157">
        <v>1</v>
      </c>
      <c r="E67" s="157"/>
      <c r="F67" s="419">
        <v>1.2</v>
      </c>
      <c r="G67" s="157" t="s">
        <v>453</v>
      </c>
      <c r="H67" s="157" t="s">
        <v>98</v>
      </c>
      <c r="I67" s="157" t="s">
        <v>453</v>
      </c>
      <c r="J67" s="415">
        <v>123.39</v>
      </c>
      <c r="K67" s="193">
        <f t="shared" si="5"/>
        <v>123.39</v>
      </c>
      <c r="L67" s="543"/>
      <c r="M67" s="416">
        <v>45292</v>
      </c>
      <c r="N67" s="416"/>
      <c r="O67" s="415" t="e">
        <f t="shared" si="7"/>
        <v>#DIV/0!</v>
      </c>
      <c r="P67" s="415">
        <v>123.39</v>
      </c>
      <c r="Q67" s="193">
        <f t="shared" si="6"/>
        <v>123.39</v>
      </c>
      <c r="R67" s="143"/>
      <c r="T67" s="418">
        <v>96.833333333333343</v>
      </c>
    </row>
    <row r="68" spans="1:21">
      <c r="A68" s="504"/>
      <c r="B68" s="155" t="s">
        <v>605</v>
      </c>
      <c r="C68" s="415">
        <v>110.3</v>
      </c>
      <c r="D68" s="157">
        <v>1</v>
      </c>
      <c r="E68" s="157"/>
      <c r="F68" s="419">
        <v>0.6</v>
      </c>
      <c r="G68" s="157" t="s">
        <v>453</v>
      </c>
      <c r="H68" s="157" t="s">
        <v>98</v>
      </c>
      <c r="I68" s="157" t="s">
        <v>453</v>
      </c>
      <c r="J68" s="415">
        <v>66.180000000000007</v>
      </c>
      <c r="K68" s="193">
        <f t="shared" si="5"/>
        <v>66.180000000000007</v>
      </c>
      <c r="L68" s="543"/>
      <c r="M68" s="416">
        <v>45292</v>
      </c>
      <c r="N68" s="416"/>
      <c r="O68" s="415" t="e">
        <f t="shared" si="7"/>
        <v>#DIV/0!</v>
      </c>
      <c r="P68" s="415">
        <v>66.180000000000007</v>
      </c>
      <c r="Q68" s="193">
        <f t="shared" si="6"/>
        <v>66.180000000000007</v>
      </c>
      <c r="R68" s="143"/>
      <c r="T68" s="418">
        <v>103.86666666666667</v>
      </c>
    </row>
    <row r="69" spans="1:21">
      <c r="A69" s="504"/>
      <c r="B69" s="155" t="s">
        <v>606</v>
      </c>
      <c r="C69" s="415">
        <v>120.66</v>
      </c>
      <c r="D69" s="157">
        <v>1</v>
      </c>
      <c r="E69" s="157"/>
      <c r="F69" s="419">
        <v>0.6</v>
      </c>
      <c r="G69" s="157" t="s">
        <v>453</v>
      </c>
      <c r="H69" s="157" t="s">
        <v>98</v>
      </c>
      <c r="I69" s="157" t="s">
        <v>453</v>
      </c>
      <c r="J69" s="415">
        <v>72.39</v>
      </c>
      <c r="K69" s="193">
        <f t="shared" si="5"/>
        <v>72.39</v>
      </c>
      <c r="L69" s="543"/>
      <c r="M69" s="416">
        <v>45292</v>
      </c>
      <c r="N69" s="416"/>
      <c r="O69" s="415" t="e">
        <f t="shared" si="7"/>
        <v>#DIV/0!</v>
      </c>
      <c r="P69" s="415">
        <v>72.39</v>
      </c>
      <c r="Q69" s="193">
        <f t="shared" si="6"/>
        <v>72.39</v>
      </c>
      <c r="R69" s="143"/>
      <c r="T69" s="418">
        <v>113.61666666666667</v>
      </c>
    </row>
    <row r="70" spans="1:21">
      <c r="A70" s="504"/>
      <c r="B70" s="155" t="s">
        <v>607</v>
      </c>
      <c r="C70" s="415">
        <v>132.99</v>
      </c>
      <c r="D70" s="157">
        <v>1</v>
      </c>
      <c r="E70" s="157"/>
      <c r="F70" s="419">
        <v>0.6</v>
      </c>
      <c r="G70" s="157" t="s">
        <v>453</v>
      </c>
      <c r="H70" s="157" t="s">
        <v>98</v>
      </c>
      <c r="I70" s="157" t="s">
        <v>453</v>
      </c>
      <c r="J70" s="415">
        <v>79.790000000000006</v>
      </c>
      <c r="K70" s="193">
        <f t="shared" si="5"/>
        <v>79.790000000000006</v>
      </c>
      <c r="L70" s="543"/>
      <c r="M70" s="416">
        <v>45292</v>
      </c>
      <c r="N70" s="416"/>
      <c r="O70" s="415" t="e">
        <f t="shared" si="7"/>
        <v>#DIV/0!</v>
      </c>
      <c r="P70" s="415">
        <v>79.790000000000006</v>
      </c>
      <c r="Q70" s="193">
        <f t="shared" si="6"/>
        <v>79.790000000000006</v>
      </c>
      <c r="R70" s="143"/>
      <c r="T70" s="418">
        <v>125.23333333333333</v>
      </c>
    </row>
    <row r="71" spans="1:21">
      <c r="A71" s="504"/>
      <c r="B71" s="155" t="s">
        <v>608</v>
      </c>
      <c r="C71" s="415">
        <v>143.47</v>
      </c>
      <c r="D71" s="157">
        <v>1</v>
      </c>
      <c r="E71" s="157"/>
      <c r="F71" s="419">
        <v>0.6</v>
      </c>
      <c r="G71" s="157" t="s">
        <v>453</v>
      </c>
      <c r="H71" s="157" t="s">
        <v>98</v>
      </c>
      <c r="I71" s="157" t="s">
        <v>453</v>
      </c>
      <c r="J71" s="415">
        <v>86.08</v>
      </c>
      <c r="K71" s="193">
        <f t="shared" si="5"/>
        <v>86.08</v>
      </c>
      <c r="L71" s="543"/>
      <c r="M71" s="416">
        <v>45292</v>
      </c>
      <c r="N71" s="416"/>
      <c r="O71" s="415" t="e">
        <f t="shared" si="7"/>
        <v>#DIV/0!</v>
      </c>
      <c r="P71" s="415">
        <v>86.08</v>
      </c>
      <c r="Q71" s="193">
        <f t="shared" si="6"/>
        <v>86.08</v>
      </c>
      <c r="R71" s="143"/>
      <c r="T71" s="418">
        <v>135.10000000000002</v>
      </c>
    </row>
    <row r="72" spans="1:21">
      <c r="A72" s="504"/>
      <c r="B72" s="155" t="s">
        <v>609</v>
      </c>
      <c r="C72" s="415">
        <v>152.19999999999999</v>
      </c>
      <c r="D72" s="157">
        <v>1</v>
      </c>
      <c r="E72" s="157"/>
      <c r="F72" s="419">
        <v>0.6</v>
      </c>
      <c r="G72" s="157" t="s">
        <v>453</v>
      </c>
      <c r="H72" s="157" t="s">
        <v>98</v>
      </c>
      <c r="I72" s="157" t="s">
        <v>453</v>
      </c>
      <c r="J72" s="415">
        <v>91.32</v>
      </c>
      <c r="K72" s="193">
        <f t="shared" si="5"/>
        <v>91.32</v>
      </c>
      <c r="L72" s="543"/>
      <c r="M72" s="416">
        <v>45292</v>
      </c>
      <c r="N72" s="416"/>
      <c r="O72" s="415" t="e">
        <f t="shared" si="7"/>
        <v>#DIV/0!</v>
      </c>
      <c r="P72" s="415">
        <v>91.32</v>
      </c>
      <c r="Q72" s="193">
        <f t="shared" si="6"/>
        <v>91.32</v>
      </c>
      <c r="R72" s="143"/>
      <c r="T72" s="418">
        <v>143.33333333333334</v>
      </c>
    </row>
    <row r="73" spans="1:21">
      <c r="A73" s="504"/>
      <c r="B73" s="155" t="s">
        <v>610</v>
      </c>
      <c r="C73" s="415">
        <v>162.33000000000001</v>
      </c>
      <c r="D73" s="157">
        <v>1</v>
      </c>
      <c r="E73" s="157"/>
      <c r="F73" s="419">
        <v>0.6</v>
      </c>
      <c r="G73" s="157" t="s">
        <v>453</v>
      </c>
      <c r="H73" s="157" t="s">
        <v>98</v>
      </c>
      <c r="I73" s="157" t="s">
        <v>453</v>
      </c>
      <c r="J73" s="415">
        <v>97.4</v>
      </c>
      <c r="K73" s="193">
        <f t="shared" si="5"/>
        <v>97.4</v>
      </c>
      <c r="L73" s="543"/>
      <c r="M73" s="416">
        <v>45292</v>
      </c>
      <c r="N73" s="416"/>
      <c r="O73" s="415" t="e">
        <f t="shared" si="7"/>
        <v>#DIV/0!</v>
      </c>
      <c r="P73" s="415">
        <v>97.4</v>
      </c>
      <c r="Q73" s="193">
        <f t="shared" si="6"/>
        <v>97.4</v>
      </c>
      <c r="R73" s="143"/>
      <c r="T73" s="418">
        <v>152.86666666666667</v>
      </c>
    </row>
    <row r="74" spans="1:21">
      <c r="A74" s="504"/>
      <c r="B74" s="95" t="s">
        <v>98</v>
      </c>
      <c r="C74" s="96"/>
      <c r="D74" s="97"/>
      <c r="E74" s="97"/>
      <c r="F74" s="98"/>
      <c r="G74" s="97"/>
      <c r="H74" s="97"/>
      <c r="I74" s="97"/>
      <c r="J74" s="97"/>
      <c r="K74" s="97"/>
      <c r="L74" s="542"/>
      <c r="O74" s="96"/>
      <c r="P74" s="97"/>
      <c r="Q74" s="97"/>
    </row>
    <row r="75" spans="1:21">
      <c r="A75" s="504"/>
      <c r="B75" s="95" t="s">
        <v>691</v>
      </c>
      <c r="C75" s="421">
        <f>J75/F75</f>
        <v>31.587301587301585</v>
      </c>
      <c r="D75" s="97">
        <v>1</v>
      </c>
      <c r="E75" s="97"/>
      <c r="F75" s="417">
        <v>5.04</v>
      </c>
      <c r="G75" s="97" t="s">
        <v>453</v>
      </c>
      <c r="H75" s="97" t="s">
        <v>98</v>
      </c>
      <c r="I75" s="97" t="s">
        <v>453</v>
      </c>
      <c r="J75" s="415">
        <v>159.19999999999999</v>
      </c>
      <c r="K75" s="415">
        <f>J75</f>
        <v>159.19999999999999</v>
      </c>
      <c r="L75" s="544"/>
      <c r="M75" s="416">
        <v>45352</v>
      </c>
      <c r="N75" s="416"/>
      <c r="O75" s="421" t="e">
        <f>V75/R75</f>
        <v>#DIV/0!</v>
      </c>
      <c r="P75" s="415">
        <v>159.19999999999999</v>
      </c>
      <c r="Q75" s="415">
        <f>P75</f>
        <v>159.19999999999999</v>
      </c>
      <c r="T75" s="78">
        <v>167.48640000000003</v>
      </c>
      <c r="U75" s="78">
        <v>167.48640000000003</v>
      </c>
    </row>
    <row r="76" spans="1:21">
      <c r="A76" s="504"/>
      <c r="B76" s="95" t="s">
        <v>692</v>
      </c>
      <c r="C76" s="421">
        <f t="shared" ref="C76:C81" si="8">J76/F76</f>
        <v>36.539351851851848</v>
      </c>
      <c r="D76" s="97">
        <v>1</v>
      </c>
      <c r="E76" s="97"/>
      <c r="F76" s="417">
        <v>4.32</v>
      </c>
      <c r="G76" s="97" t="s">
        <v>453</v>
      </c>
      <c r="H76" s="97" t="s">
        <v>98</v>
      </c>
      <c r="I76" s="97" t="s">
        <v>453</v>
      </c>
      <c r="J76" s="415">
        <v>157.85</v>
      </c>
      <c r="K76" s="415">
        <f t="shared" ref="K76:K81" si="9">J76</f>
        <v>157.85</v>
      </c>
      <c r="L76" s="544"/>
      <c r="M76" s="416">
        <v>45352</v>
      </c>
      <c r="N76" s="416"/>
      <c r="O76" s="421" t="e">
        <f t="shared" ref="O76:O81" si="10">V76/R76</f>
        <v>#DIV/0!</v>
      </c>
      <c r="P76" s="415">
        <v>157.85</v>
      </c>
      <c r="Q76" s="415">
        <f t="shared" ref="Q76:Q81" si="11">P76</f>
        <v>157.85</v>
      </c>
      <c r="T76" s="78">
        <v>153.108</v>
      </c>
      <c r="U76" s="78">
        <v>153.108</v>
      </c>
    </row>
    <row r="77" spans="1:21">
      <c r="A77" s="504"/>
      <c r="B77" s="95" t="s">
        <v>693</v>
      </c>
      <c r="C77" s="421">
        <f t="shared" si="8"/>
        <v>46.95</v>
      </c>
      <c r="D77" s="97">
        <v>1</v>
      </c>
      <c r="E77" s="97"/>
      <c r="F77" s="417">
        <v>3.6</v>
      </c>
      <c r="G77" s="97" t="s">
        <v>453</v>
      </c>
      <c r="H77" s="97" t="s">
        <v>98</v>
      </c>
      <c r="I77" s="97" t="s">
        <v>453</v>
      </c>
      <c r="J77" s="415">
        <v>169.02</v>
      </c>
      <c r="K77" s="415">
        <f t="shared" si="9"/>
        <v>169.02</v>
      </c>
      <c r="L77" s="544"/>
      <c r="M77" s="416">
        <v>45352</v>
      </c>
      <c r="N77" s="416"/>
      <c r="O77" s="421" t="e">
        <f t="shared" si="10"/>
        <v>#DIV/0!</v>
      </c>
      <c r="P77" s="415">
        <v>169.02</v>
      </c>
      <c r="Q77" s="415">
        <f t="shared" si="11"/>
        <v>169.02</v>
      </c>
      <c r="T77" s="78">
        <v>162.9504</v>
      </c>
      <c r="U77" s="78">
        <v>162.9504</v>
      </c>
    </row>
    <row r="78" spans="1:21">
      <c r="A78" s="504"/>
      <c r="B78" s="95" t="s">
        <v>694</v>
      </c>
      <c r="C78" s="421">
        <f t="shared" si="8"/>
        <v>56.520833333333336</v>
      </c>
      <c r="D78" s="97">
        <v>1</v>
      </c>
      <c r="E78" s="97"/>
      <c r="F78" s="417">
        <v>2.88</v>
      </c>
      <c r="G78" s="97" t="s">
        <v>453</v>
      </c>
      <c r="H78" s="97" t="s">
        <v>98</v>
      </c>
      <c r="I78" s="97" t="s">
        <v>453</v>
      </c>
      <c r="J78" s="415">
        <v>162.78</v>
      </c>
      <c r="K78" s="415">
        <f t="shared" si="9"/>
        <v>162.78</v>
      </c>
      <c r="L78" s="544"/>
      <c r="M78" s="416">
        <v>45352</v>
      </c>
      <c r="N78" s="416"/>
      <c r="O78" s="421" t="e">
        <f t="shared" si="10"/>
        <v>#DIV/0!</v>
      </c>
      <c r="P78" s="415">
        <v>162.78</v>
      </c>
      <c r="Q78" s="415">
        <f t="shared" si="11"/>
        <v>162.78</v>
      </c>
      <c r="T78" s="78">
        <v>153.05760000000001</v>
      </c>
      <c r="U78" s="78">
        <v>153.05760000000001</v>
      </c>
    </row>
    <row r="79" spans="1:21">
      <c r="A79" s="504"/>
      <c r="B79" s="95" t="s">
        <v>695</v>
      </c>
      <c r="C79" s="421">
        <f t="shared" si="8"/>
        <v>63.351851851851848</v>
      </c>
      <c r="D79" s="97">
        <v>1</v>
      </c>
      <c r="E79" s="97"/>
      <c r="F79" s="417">
        <v>2.16</v>
      </c>
      <c r="G79" s="97" t="s">
        <v>453</v>
      </c>
      <c r="H79" s="97" t="s">
        <v>98</v>
      </c>
      <c r="I79" s="97" t="s">
        <v>453</v>
      </c>
      <c r="J79" s="415">
        <v>136.84</v>
      </c>
      <c r="K79" s="415">
        <f t="shared" si="9"/>
        <v>136.84</v>
      </c>
      <c r="L79" s="544"/>
      <c r="M79" s="416">
        <v>45352</v>
      </c>
      <c r="N79" s="416"/>
      <c r="O79" s="421" t="e">
        <f t="shared" si="10"/>
        <v>#DIV/0!</v>
      </c>
      <c r="P79" s="415">
        <v>136.84</v>
      </c>
      <c r="Q79" s="415">
        <f t="shared" si="11"/>
        <v>136.84</v>
      </c>
      <c r="R79" s="94"/>
      <c r="T79" s="78">
        <v>183.92400000000004</v>
      </c>
      <c r="U79" s="78">
        <v>183.92400000000004</v>
      </c>
    </row>
    <row r="80" spans="1:21">
      <c r="A80" s="504"/>
      <c r="B80" s="95" t="s">
        <v>696</v>
      </c>
      <c r="C80" s="421">
        <f t="shared" si="8"/>
        <v>73.25</v>
      </c>
      <c r="D80" s="97">
        <v>1</v>
      </c>
      <c r="E80" s="97"/>
      <c r="F80" s="417">
        <v>2.16</v>
      </c>
      <c r="G80" s="97" t="s">
        <v>453</v>
      </c>
      <c r="H80" s="97" t="s">
        <v>98</v>
      </c>
      <c r="I80" s="97" t="s">
        <v>453</v>
      </c>
      <c r="J80" s="415">
        <v>158.22</v>
      </c>
      <c r="K80" s="415">
        <f t="shared" si="9"/>
        <v>158.22</v>
      </c>
      <c r="L80" s="544"/>
      <c r="M80" s="416">
        <v>45352</v>
      </c>
      <c r="N80" s="416"/>
      <c r="O80" s="421" t="e">
        <f t="shared" si="10"/>
        <v>#DIV/0!</v>
      </c>
      <c r="P80" s="415">
        <v>158.22</v>
      </c>
      <c r="Q80" s="415">
        <f t="shared" si="11"/>
        <v>158.22</v>
      </c>
      <c r="R80" s="94"/>
      <c r="T80" s="78">
        <v>212.15520000000001</v>
      </c>
      <c r="U80" s="78">
        <v>212.15520000000001</v>
      </c>
    </row>
    <row r="81" spans="1:21">
      <c r="A81" s="504"/>
      <c r="B81" s="95" t="s">
        <v>697</v>
      </c>
      <c r="C81" s="421">
        <f t="shared" si="8"/>
        <v>85.888888888888886</v>
      </c>
      <c r="D81" s="97">
        <v>1</v>
      </c>
      <c r="E81" s="97"/>
      <c r="F81" s="417">
        <v>2.16</v>
      </c>
      <c r="G81" s="97" t="s">
        <v>453</v>
      </c>
      <c r="H81" s="97" t="s">
        <v>98</v>
      </c>
      <c r="I81" s="97" t="s">
        <v>453</v>
      </c>
      <c r="J81" s="415">
        <v>185.52</v>
      </c>
      <c r="K81" s="415">
        <f t="shared" si="9"/>
        <v>185.52</v>
      </c>
      <c r="L81" s="544"/>
      <c r="M81" s="416">
        <v>45352</v>
      </c>
      <c r="N81" s="416"/>
      <c r="O81" s="421" t="e">
        <f t="shared" si="10"/>
        <v>#DIV/0!</v>
      </c>
      <c r="P81" s="415">
        <v>185.52</v>
      </c>
      <c r="Q81" s="415">
        <f t="shared" si="11"/>
        <v>185.52</v>
      </c>
      <c r="T81" s="78">
        <v>128.9376</v>
      </c>
      <c r="U81" s="78">
        <v>128.9376</v>
      </c>
    </row>
    <row r="82" spans="1:21">
      <c r="A82" s="504"/>
      <c r="B82" s="95" t="s">
        <v>98</v>
      </c>
      <c r="C82" s="96"/>
      <c r="D82" s="97"/>
      <c r="E82" s="97"/>
      <c r="F82" s="98"/>
      <c r="G82" s="97"/>
      <c r="H82" s="97"/>
      <c r="I82" s="97"/>
      <c r="J82" s="97"/>
      <c r="K82" s="97"/>
      <c r="L82" s="542"/>
      <c r="O82" s="96"/>
      <c r="P82" s="97"/>
      <c r="Q82" s="97"/>
    </row>
    <row r="83" spans="1:21" ht="16.5">
      <c r="A83" s="504"/>
      <c r="B83" s="155" t="s">
        <v>698</v>
      </c>
      <c r="C83" s="129">
        <v>27.5</v>
      </c>
      <c r="D83" s="157">
        <v>1</v>
      </c>
      <c r="E83" s="157"/>
      <c r="F83" s="158">
        <v>7.5</v>
      </c>
      <c r="G83" s="157" t="s">
        <v>646</v>
      </c>
      <c r="H83" s="157" t="s">
        <v>98</v>
      </c>
      <c r="I83" s="157" t="s">
        <v>453</v>
      </c>
      <c r="J83" s="193">
        <v>206.23</v>
      </c>
      <c r="K83" s="193">
        <f>J83</f>
        <v>206.23</v>
      </c>
      <c r="L83" s="543"/>
      <c r="M83" s="8" t="s">
        <v>950</v>
      </c>
      <c r="N83" s="8"/>
      <c r="O83" s="129" t="e">
        <f>V83/R83</f>
        <v>#DIV/0!</v>
      </c>
      <c r="P83" s="193">
        <v>206.23</v>
      </c>
      <c r="Q83" s="193">
        <f>P83</f>
        <v>206.23</v>
      </c>
      <c r="T83" s="78">
        <v>146.77000000000001</v>
      </c>
      <c r="U83" s="78">
        <v>146.77000000000001</v>
      </c>
    </row>
    <row r="84" spans="1:21" ht="16.5">
      <c r="A84" s="504"/>
      <c r="B84" s="155" t="s">
        <v>699</v>
      </c>
      <c r="C84" s="129">
        <v>55.19</v>
      </c>
      <c r="D84" s="157">
        <v>1</v>
      </c>
      <c r="E84" s="157"/>
      <c r="F84" s="158">
        <v>4</v>
      </c>
      <c r="G84" s="157" t="s">
        <v>646</v>
      </c>
      <c r="H84" s="157" t="s">
        <v>98</v>
      </c>
      <c r="I84" s="157" t="s">
        <v>453</v>
      </c>
      <c r="J84" s="193">
        <v>220.74</v>
      </c>
      <c r="K84" s="193">
        <f t="shared" ref="K84:K88" si="12">J84</f>
        <v>220.74</v>
      </c>
      <c r="L84" s="543"/>
      <c r="M84" s="8" t="s">
        <v>950</v>
      </c>
      <c r="N84" s="8"/>
      <c r="O84" s="129" t="e">
        <f t="shared" ref="O84:O88" si="13">V84/R84</f>
        <v>#DIV/0!</v>
      </c>
      <c r="P84" s="193">
        <v>220.74</v>
      </c>
      <c r="Q84" s="193">
        <f t="shared" ref="Q84:Q85" si="14">P84</f>
        <v>220.74</v>
      </c>
      <c r="T84" s="78">
        <v>142.38</v>
      </c>
      <c r="U84" s="78">
        <v>142.38</v>
      </c>
    </row>
    <row r="85" spans="1:21" ht="16.5">
      <c r="A85" s="504"/>
      <c r="B85" s="155" t="s">
        <v>700</v>
      </c>
      <c r="C85" s="129">
        <v>82.78</v>
      </c>
      <c r="D85" s="157">
        <v>1</v>
      </c>
      <c r="E85" s="157"/>
      <c r="F85" s="158">
        <v>2.5</v>
      </c>
      <c r="G85" s="157" t="s">
        <v>646</v>
      </c>
      <c r="H85" s="157" t="s">
        <v>98</v>
      </c>
      <c r="I85" s="157" t="s">
        <v>453</v>
      </c>
      <c r="J85" s="193">
        <v>206.94</v>
      </c>
      <c r="K85" s="193">
        <f t="shared" si="12"/>
        <v>206.94</v>
      </c>
      <c r="L85" s="543"/>
      <c r="M85" s="8" t="s">
        <v>950</v>
      </c>
      <c r="N85" s="8"/>
      <c r="O85" s="129" t="e">
        <f t="shared" si="13"/>
        <v>#DIV/0!</v>
      </c>
      <c r="P85" s="193">
        <v>206.94</v>
      </c>
      <c r="Q85" s="193">
        <f t="shared" si="14"/>
        <v>206.94</v>
      </c>
      <c r="T85" s="78">
        <v>133.68</v>
      </c>
      <c r="U85" s="78">
        <v>133.68</v>
      </c>
    </row>
    <row r="86" spans="1:21" ht="16.5">
      <c r="A86" s="504"/>
      <c r="B86" s="155" t="s">
        <v>701</v>
      </c>
      <c r="C86" s="129">
        <v>110.38</v>
      </c>
      <c r="D86" s="157">
        <v>1</v>
      </c>
      <c r="E86" s="157"/>
      <c r="F86" s="158">
        <v>2</v>
      </c>
      <c r="G86" s="157" t="s">
        <v>646</v>
      </c>
      <c r="H86" s="157" t="s">
        <v>98</v>
      </c>
      <c r="I86" s="157" t="s">
        <v>453</v>
      </c>
      <c r="J86" s="193">
        <v>220.74</v>
      </c>
      <c r="K86" s="193">
        <v>208.88</v>
      </c>
      <c r="L86" s="543"/>
      <c r="M86" s="8" t="s">
        <v>950</v>
      </c>
      <c r="N86" s="8"/>
      <c r="O86" s="129" t="e">
        <f>V86/R86</f>
        <v>#DIV/0!</v>
      </c>
      <c r="P86" s="193">
        <v>220.74</v>
      </c>
      <c r="Q86" s="193">
        <v>208.88</v>
      </c>
      <c r="T86" s="78">
        <v>208.88</v>
      </c>
      <c r="U86" s="78">
        <v>208.88</v>
      </c>
    </row>
    <row r="87" spans="1:21" ht="16.5">
      <c r="A87" s="504"/>
      <c r="B87" s="155" t="s">
        <v>702</v>
      </c>
      <c r="C87" s="129">
        <v>137.97</v>
      </c>
      <c r="D87" s="157">
        <v>1</v>
      </c>
      <c r="E87" s="157"/>
      <c r="F87" s="158">
        <v>1.5</v>
      </c>
      <c r="G87" s="157" t="s">
        <v>646</v>
      </c>
      <c r="H87" s="157" t="s">
        <v>98</v>
      </c>
      <c r="I87" s="157" t="s">
        <v>453</v>
      </c>
      <c r="J87" s="193">
        <v>206.94</v>
      </c>
      <c r="K87" s="193">
        <f t="shared" si="12"/>
        <v>206.94</v>
      </c>
      <c r="L87" s="543"/>
      <c r="M87" s="8" t="s">
        <v>950</v>
      </c>
      <c r="N87" s="8"/>
      <c r="O87" s="129" t="e">
        <f t="shared" si="13"/>
        <v>#DIV/0!</v>
      </c>
      <c r="P87" s="193">
        <v>206.94</v>
      </c>
      <c r="Q87" s="193">
        <f t="shared" ref="Q87:Q88" si="15">P87</f>
        <v>206.94</v>
      </c>
      <c r="T87" s="78">
        <v>180.2</v>
      </c>
      <c r="U87" s="78">
        <v>180.2</v>
      </c>
    </row>
    <row r="88" spans="1:21" ht="16.5">
      <c r="A88" s="504"/>
      <c r="B88" s="155" t="s">
        <v>703</v>
      </c>
      <c r="C88" s="129">
        <v>165.7</v>
      </c>
      <c r="D88" s="157">
        <v>1</v>
      </c>
      <c r="E88" s="157"/>
      <c r="F88" s="158">
        <v>1</v>
      </c>
      <c r="G88" s="157" t="s">
        <v>646</v>
      </c>
      <c r="H88" s="157" t="s">
        <v>98</v>
      </c>
      <c r="I88" s="157" t="s">
        <v>453</v>
      </c>
      <c r="J88" s="193">
        <v>165.7</v>
      </c>
      <c r="K88" s="193">
        <f t="shared" si="12"/>
        <v>165.7</v>
      </c>
      <c r="L88" s="543"/>
      <c r="M88" s="8" t="s">
        <v>950</v>
      </c>
      <c r="N88" s="8"/>
      <c r="O88" s="129" t="e">
        <f t="shared" si="13"/>
        <v>#DIV/0!</v>
      </c>
      <c r="P88" s="193">
        <v>165.7</v>
      </c>
      <c r="Q88" s="193">
        <f t="shared" si="15"/>
        <v>165.7</v>
      </c>
      <c r="T88" s="78">
        <v>106.78</v>
      </c>
      <c r="U88" s="78">
        <v>106.78</v>
      </c>
    </row>
    <row r="89" spans="1:21">
      <c r="A89" s="504"/>
      <c r="B89" s="95" t="s">
        <v>98</v>
      </c>
      <c r="C89" s="96"/>
      <c r="D89" s="97"/>
      <c r="E89" s="97"/>
      <c r="F89" s="98"/>
      <c r="G89" s="97"/>
      <c r="H89" s="97"/>
      <c r="I89" s="97"/>
      <c r="J89" s="97"/>
      <c r="K89" s="97"/>
      <c r="L89" s="542"/>
      <c r="O89" s="96"/>
      <c r="P89" s="97"/>
      <c r="Q89" s="97"/>
    </row>
    <row r="90" spans="1:21">
      <c r="A90" s="504"/>
      <c r="B90" s="155" t="s">
        <v>506</v>
      </c>
      <c r="C90" s="96" t="s">
        <v>98</v>
      </c>
      <c r="D90" s="156">
        <f>MID(B90,20,2)/10*1.6</f>
        <v>3.2</v>
      </c>
      <c r="E90" s="157"/>
      <c r="F90" s="158">
        <v>4.5999999999999996</v>
      </c>
      <c r="G90" s="159" t="s">
        <v>5</v>
      </c>
      <c r="H90" s="157">
        <v>220.8</v>
      </c>
      <c r="I90" s="157" t="s">
        <v>346</v>
      </c>
      <c r="J90" s="415">
        <v>31.67</v>
      </c>
      <c r="K90" s="420">
        <v>29.33</v>
      </c>
      <c r="L90" s="544"/>
      <c r="M90" s="416">
        <v>45292</v>
      </c>
      <c r="N90" s="416"/>
      <c r="O90" s="96" t="s">
        <v>98</v>
      </c>
      <c r="P90" s="420">
        <v>29.33</v>
      </c>
      <c r="Q90" s="415">
        <v>31.67</v>
      </c>
      <c r="T90" s="78">
        <v>30.01</v>
      </c>
      <c r="U90" s="418">
        <v>28.3</v>
      </c>
    </row>
    <row r="91" spans="1:21">
      <c r="A91" s="504"/>
      <c r="B91" s="155" t="s">
        <v>507</v>
      </c>
      <c r="C91" s="96" t="s">
        <v>98</v>
      </c>
      <c r="D91" s="156">
        <f>MID(B91,20,2)/10*1.6</f>
        <v>4.8000000000000007</v>
      </c>
      <c r="E91" s="157"/>
      <c r="F91" s="158">
        <v>4.5999999999999996</v>
      </c>
      <c r="G91" s="159" t="s">
        <v>5</v>
      </c>
      <c r="H91" s="157">
        <v>220.8</v>
      </c>
      <c r="I91" s="157" t="s">
        <v>346</v>
      </c>
      <c r="J91" s="415">
        <v>31.67</v>
      </c>
      <c r="K91" s="420">
        <v>29.33</v>
      </c>
      <c r="L91" s="544"/>
      <c r="M91" s="416">
        <v>45292</v>
      </c>
      <c r="N91" s="416"/>
      <c r="O91" s="96" t="s">
        <v>98</v>
      </c>
      <c r="P91" s="420">
        <v>29.33</v>
      </c>
      <c r="Q91" s="415">
        <v>31.67</v>
      </c>
      <c r="T91" s="78">
        <v>30.01</v>
      </c>
      <c r="U91" s="418">
        <v>28.3</v>
      </c>
    </row>
    <row r="92" spans="1:21">
      <c r="A92" s="504"/>
      <c r="B92" s="155" t="s">
        <v>508</v>
      </c>
      <c r="C92" s="96" t="s">
        <v>98</v>
      </c>
      <c r="D92" s="156">
        <f>MID(B92,20,2)/10*1.6</f>
        <v>6.4</v>
      </c>
      <c r="E92" s="157"/>
      <c r="F92" s="158">
        <v>4.5999999999999996</v>
      </c>
      <c r="G92" s="159" t="s">
        <v>5</v>
      </c>
      <c r="H92" s="157">
        <v>220.8</v>
      </c>
      <c r="I92" s="157" t="s">
        <v>346</v>
      </c>
      <c r="J92" s="415">
        <v>31.67</v>
      </c>
      <c r="K92" s="420">
        <v>29.33</v>
      </c>
      <c r="L92" s="544"/>
      <c r="M92" s="416">
        <v>45292</v>
      </c>
      <c r="N92" s="416"/>
      <c r="O92" s="96" t="s">
        <v>98</v>
      </c>
      <c r="P92" s="420">
        <v>29.33</v>
      </c>
      <c r="Q92" s="415">
        <v>31.67</v>
      </c>
      <c r="T92" s="78">
        <v>30.01</v>
      </c>
      <c r="U92" s="418">
        <v>28.3</v>
      </c>
    </row>
    <row r="93" spans="1:21">
      <c r="A93" s="504"/>
      <c r="B93" s="155" t="s">
        <v>509</v>
      </c>
      <c r="C93" s="96" t="s">
        <v>98</v>
      </c>
      <c r="D93" s="156">
        <f t="shared" ref="D93:D95" si="16">MID(B93,20,2)/10*1.6</f>
        <v>8</v>
      </c>
      <c r="E93" s="157"/>
      <c r="F93" s="158">
        <v>4.5999999999999996</v>
      </c>
      <c r="G93" s="159" t="s">
        <v>5</v>
      </c>
      <c r="H93" s="157">
        <v>220.8</v>
      </c>
      <c r="I93" s="157" t="s">
        <v>346</v>
      </c>
      <c r="J93" s="415">
        <v>31.67</v>
      </c>
      <c r="K93" s="420">
        <v>29.33</v>
      </c>
      <c r="L93" s="544"/>
      <c r="M93" s="416">
        <v>45292</v>
      </c>
      <c r="N93" s="416"/>
      <c r="O93" s="96" t="s">
        <v>98</v>
      </c>
      <c r="P93" s="420">
        <v>29.33</v>
      </c>
      <c r="Q93" s="415">
        <v>31.67</v>
      </c>
      <c r="T93" s="78">
        <v>30.01</v>
      </c>
      <c r="U93" s="418">
        <v>28.3</v>
      </c>
    </row>
    <row r="94" spans="1:21">
      <c r="A94" s="504"/>
      <c r="B94" s="155" t="s">
        <v>510</v>
      </c>
      <c r="C94" s="96" t="s">
        <v>98</v>
      </c>
      <c r="D94" s="156">
        <f t="shared" si="16"/>
        <v>9.6000000000000014</v>
      </c>
      <c r="E94" s="157"/>
      <c r="F94" s="158">
        <v>4.5999999999999996</v>
      </c>
      <c r="G94" s="159" t="s">
        <v>5</v>
      </c>
      <c r="H94" s="157">
        <v>220.8</v>
      </c>
      <c r="I94" s="157" t="s">
        <v>346</v>
      </c>
      <c r="J94" s="415">
        <v>31.67</v>
      </c>
      <c r="K94" s="420">
        <v>29.33</v>
      </c>
      <c r="L94" s="544"/>
      <c r="M94" s="416">
        <v>45292</v>
      </c>
      <c r="N94" s="416"/>
      <c r="O94" s="96" t="s">
        <v>98</v>
      </c>
      <c r="P94" s="420">
        <v>29.33</v>
      </c>
      <c r="Q94" s="415">
        <v>31.67</v>
      </c>
      <c r="T94" s="78">
        <v>30.01</v>
      </c>
      <c r="U94" s="418">
        <v>28.3</v>
      </c>
    </row>
    <row r="95" spans="1:21">
      <c r="A95" s="504"/>
      <c r="B95" s="155" t="s">
        <v>511</v>
      </c>
      <c r="C95" s="96" t="s">
        <v>98</v>
      </c>
      <c r="D95" s="156">
        <f t="shared" si="16"/>
        <v>11.200000000000001</v>
      </c>
      <c r="E95" s="157"/>
      <c r="F95" s="158">
        <v>4.5999999999999996</v>
      </c>
      <c r="G95" s="159" t="s">
        <v>5</v>
      </c>
      <c r="H95" s="157">
        <v>220.8</v>
      </c>
      <c r="I95" s="157" t="s">
        <v>346</v>
      </c>
      <c r="J95" s="415">
        <v>31.67</v>
      </c>
      <c r="K95" s="420">
        <v>29.33</v>
      </c>
      <c r="L95" s="544"/>
      <c r="M95" s="416">
        <v>45292</v>
      </c>
      <c r="N95" s="416"/>
      <c r="O95" s="96" t="s">
        <v>98</v>
      </c>
      <c r="P95" s="420">
        <v>29.33</v>
      </c>
      <c r="Q95" s="415">
        <v>31.67</v>
      </c>
      <c r="T95" s="78">
        <v>30.01</v>
      </c>
      <c r="U95" s="418">
        <v>28.3</v>
      </c>
    </row>
    <row r="96" spans="1:21">
      <c r="A96" s="504"/>
      <c r="B96" s="155" t="s">
        <v>512</v>
      </c>
      <c r="C96" s="96" t="s">
        <v>98</v>
      </c>
      <c r="D96" s="156">
        <f>MID(B96,20,2)/10*1.6</f>
        <v>12.8</v>
      </c>
      <c r="E96" s="157"/>
      <c r="F96" s="158">
        <v>4.5999999999999996</v>
      </c>
      <c r="G96" s="159" t="s">
        <v>5</v>
      </c>
      <c r="H96" s="157">
        <v>220.8</v>
      </c>
      <c r="I96" s="157" t="s">
        <v>346</v>
      </c>
      <c r="J96" s="415">
        <v>31.67</v>
      </c>
      <c r="K96" s="420">
        <v>29.33</v>
      </c>
      <c r="L96" s="544"/>
      <c r="M96" s="416">
        <v>45292</v>
      </c>
      <c r="N96" s="416"/>
      <c r="O96" s="96" t="s">
        <v>98</v>
      </c>
      <c r="P96" s="420">
        <v>29.33</v>
      </c>
      <c r="Q96" s="415">
        <v>31.67</v>
      </c>
      <c r="T96" s="78">
        <v>30.01</v>
      </c>
      <c r="U96" s="418">
        <v>28.3</v>
      </c>
    </row>
    <row r="97" spans="1:21">
      <c r="A97" s="455"/>
      <c r="B97" s="95" t="s">
        <v>98</v>
      </c>
      <c r="C97" s="95" t="s">
        <v>98</v>
      </c>
      <c r="D97" s="95" t="s">
        <v>98</v>
      </c>
      <c r="E97" s="95"/>
      <c r="F97" s="95" t="s">
        <v>98</v>
      </c>
      <c r="G97" s="95" t="s">
        <v>98</v>
      </c>
      <c r="H97" s="95" t="s">
        <v>98</v>
      </c>
      <c r="I97" s="95" t="s">
        <v>98</v>
      </c>
      <c r="J97" s="95" t="s">
        <v>98</v>
      </c>
      <c r="K97" s="95" t="s">
        <v>98</v>
      </c>
      <c r="L97" s="545"/>
      <c r="M97" s="160"/>
      <c r="N97" s="160"/>
      <c r="O97" s="95" t="s">
        <v>98</v>
      </c>
      <c r="P97" s="95" t="s">
        <v>98</v>
      </c>
      <c r="Q97" s="95" t="s">
        <v>98</v>
      </c>
    </row>
    <row r="98" spans="1:21" ht="16.5">
      <c r="A98" s="455"/>
      <c r="B98" s="95" t="s">
        <v>951</v>
      </c>
      <c r="C98" s="421" t="s">
        <v>98</v>
      </c>
      <c r="D98" s="156">
        <v>1.2</v>
      </c>
      <c r="E98" s="97"/>
      <c r="F98" s="417">
        <v>9.6</v>
      </c>
      <c r="G98" s="157" t="s">
        <v>646</v>
      </c>
      <c r="H98" s="97" t="s">
        <v>98</v>
      </c>
      <c r="I98" s="157" t="s">
        <v>453</v>
      </c>
      <c r="J98" s="415">
        <v>180.34</v>
      </c>
      <c r="K98" s="415">
        <f>J98</f>
        <v>180.34</v>
      </c>
      <c r="L98" s="544"/>
      <c r="M98" s="416">
        <v>45292</v>
      </c>
      <c r="N98" s="416"/>
      <c r="O98" s="421" t="e">
        <f>V98/R98</f>
        <v>#DIV/0!</v>
      </c>
      <c r="P98" s="415">
        <v>180.34</v>
      </c>
      <c r="Q98" s="415">
        <f>P98</f>
        <v>180.34</v>
      </c>
      <c r="T98" s="78">
        <v>18.149999999999999</v>
      </c>
    </row>
    <row r="99" spans="1:21">
      <c r="A99" s="455"/>
      <c r="B99" s="95" t="s">
        <v>98</v>
      </c>
      <c r="C99" s="421"/>
      <c r="D99" s="156"/>
      <c r="E99" s="97"/>
      <c r="F99" s="417"/>
      <c r="G99" s="157"/>
      <c r="H99" s="97"/>
      <c r="I99" s="157"/>
      <c r="J99" s="415"/>
      <c r="K99" s="415"/>
      <c r="L99" s="544"/>
      <c r="M99" s="416"/>
      <c r="N99" s="416"/>
      <c r="O99" s="421"/>
      <c r="P99" s="415"/>
      <c r="Q99" s="415"/>
    </row>
    <row r="100" spans="1:21" ht="16.5">
      <c r="A100" s="455"/>
      <c r="B100" s="155" t="s">
        <v>1010</v>
      </c>
      <c r="C100" s="421">
        <v>24.44</v>
      </c>
      <c r="D100" s="157">
        <v>1</v>
      </c>
      <c r="E100" s="97"/>
      <c r="F100" s="417">
        <v>9.6</v>
      </c>
      <c r="G100" s="157" t="s">
        <v>646</v>
      </c>
      <c r="H100" s="97" t="s">
        <v>98</v>
      </c>
      <c r="I100" s="157" t="s">
        <v>453</v>
      </c>
      <c r="J100" s="415"/>
      <c r="K100" s="415"/>
      <c r="L100" s="544"/>
      <c r="M100" s="416"/>
      <c r="N100" s="416"/>
      <c r="O100" s="421"/>
      <c r="P100" s="415"/>
      <c r="Q100" s="415"/>
    </row>
    <row r="101" spans="1:21" ht="16.5">
      <c r="A101" s="455"/>
      <c r="B101" s="155" t="s">
        <v>1010</v>
      </c>
      <c r="C101" s="421">
        <v>35.630000000000003</v>
      </c>
      <c r="D101" s="157">
        <v>1</v>
      </c>
      <c r="E101" s="97"/>
      <c r="F101" s="417">
        <v>7.2</v>
      </c>
      <c r="G101" s="157" t="s">
        <v>646</v>
      </c>
      <c r="H101" s="97" t="s">
        <v>98</v>
      </c>
      <c r="I101" s="157" t="s">
        <v>453</v>
      </c>
      <c r="J101" s="415"/>
      <c r="K101" s="415"/>
      <c r="L101" s="544"/>
      <c r="M101" s="416"/>
      <c r="N101" s="416"/>
      <c r="O101" s="421"/>
      <c r="P101" s="415"/>
      <c r="Q101" s="415"/>
    </row>
    <row r="102" spans="1:21" s="76" customFormat="1" ht="43.5">
      <c r="A102" s="72"/>
      <c r="B102" s="546" t="s">
        <v>98</v>
      </c>
      <c r="C102" s="73" t="s">
        <v>17</v>
      </c>
      <c r="D102" s="74" t="s">
        <v>428</v>
      </c>
      <c r="E102" s="74" t="s">
        <v>429</v>
      </c>
      <c r="F102" s="74" t="s">
        <v>294</v>
      </c>
      <c r="G102" s="73" t="s">
        <v>166</v>
      </c>
      <c r="H102" s="74" t="s">
        <v>348</v>
      </c>
      <c r="I102" s="74" t="s">
        <v>345</v>
      </c>
      <c r="J102" s="74" t="s">
        <v>360</v>
      </c>
      <c r="K102" s="74" t="s">
        <v>293</v>
      </c>
      <c r="L102" s="540"/>
      <c r="M102" s="422"/>
      <c r="N102" s="422"/>
      <c r="O102" s="73" t="s">
        <v>17</v>
      </c>
      <c r="P102" s="74" t="s">
        <v>360</v>
      </c>
      <c r="Q102" s="74" t="s">
        <v>293</v>
      </c>
    </row>
    <row r="103" spans="1:21">
      <c r="A103" s="501" t="s">
        <v>154</v>
      </c>
      <c r="B103" s="161" t="s">
        <v>513</v>
      </c>
      <c r="C103" s="162">
        <f>K103/F103</f>
        <v>1.1192</v>
      </c>
      <c r="D103" s="163">
        <f>1.25*2*2</f>
        <v>5</v>
      </c>
      <c r="E103" s="163">
        <f>1.25*2*2</f>
        <v>5</v>
      </c>
      <c r="F103" s="164">
        <v>25</v>
      </c>
      <c r="G103" s="163" t="s">
        <v>5</v>
      </c>
      <c r="H103" s="163">
        <v>1200</v>
      </c>
      <c r="I103" s="163" t="s">
        <v>346</v>
      </c>
      <c r="J103" s="423">
        <v>30.22</v>
      </c>
      <c r="K103" s="423">
        <v>27.98</v>
      </c>
      <c r="L103" s="544"/>
      <c r="M103" s="416">
        <v>45292</v>
      </c>
      <c r="N103" s="416"/>
      <c r="O103" s="162" t="e">
        <f>W103/R103</f>
        <v>#DIV/0!</v>
      </c>
      <c r="P103" s="423">
        <v>30.22</v>
      </c>
      <c r="Q103" s="423">
        <v>27.98</v>
      </c>
      <c r="R103" s="143"/>
      <c r="T103" s="78">
        <v>28.69</v>
      </c>
      <c r="U103" s="418">
        <v>27</v>
      </c>
    </row>
    <row r="104" spans="1:21">
      <c r="A104" s="501"/>
      <c r="B104" s="161" t="s">
        <v>514</v>
      </c>
      <c r="C104" s="162">
        <f>K104/F104</f>
        <v>1.2076</v>
      </c>
      <c r="D104" s="163">
        <f t="shared" ref="D104:E106" si="17">1.25*2*2</f>
        <v>5</v>
      </c>
      <c r="E104" s="163">
        <f t="shared" si="17"/>
        <v>5</v>
      </c>
      <c r="F104" s="164">
        <v>25</v>
      </c>
      <c r="G104" s="163" t="s">
        <v>5</v>
      </c>
      <c r="H104" s="163">
        <v>1200</v>
      </c>
      <c r="I104" s="163" t="s">
        <v>346</v>
      </c>
      <c r="J104" s="423">
        <v>32.6</v>
      </c>
      <c r="K104" s="423">
        <v>30.19</v>
      </c>
      <c r="L104" s="544"/>
      <c r="M104" s="416">
        <v>45292</v>
      </c>
      <c r="N104" s="416"/>
      <c r="O104" s="162" t="e">
        <f>W104/R104</f>
        <v>#DIV/0!</v>
      </c>
      <c r="P104" s="423">
        <v>32.6</v>
      </c>
      <c r="Q104" s="423">
        <v>30.19</v>
      </c>
      <c r="R104" s="143"/>
      <c r="T104" s="78">
        <v>30.88</v>
      </c>
      <c r="U104" s="418">
        <v>29.13</v>
      </c>
    </row>
    <row r="105" spans="1:21">
      <c r="A105" s="501"/>
      <c r="B105" s="161" t="s">
        <v>515</v>
      </c>
      <c r="C105" s="162">
        <f>K105/F105</f>
        <v>2.0760000000000001</v>
      </c>
      <c r="D105" s="163">
        <f t="shared" si="17"/>
        <v>5</v>
      </c>
      <c r="E105" s="163">
        <f t="shared" si="17"/>
        <v>5</v>
      </c>
      <c r="F105" s="164">
        <v>25</v>
      </c>
      <c r="G105" s="163" t="s">
        <v>5</v>
      </c>
      <c r="H105" s="163">
        <v>1200</v>
      </c>
      <c r="I105" s="163" t="s">
        <v>346</v>
      </c>
      <c r="J105" s="423">
        <v>56.05</v>
      </c>
      <c r="K105" s="423">
        <v>51.9</v>
      </c>
      <c r="L105" s="544"/>
      <c r="M105" s="416">
        <v>45292</v>
      </c>
      <c r="N105" s="416"/>
      <c r="O105" s="162" t="e">
        <f>W105/R105</f>
        <v>#DIV/0!</v>
      </c>
      <c r="P105" s="423">
        <v>56.05</v>
      </c>
      <c r="Q105" s="423">
        <v>50.58</v>
      </c>
      <c r="R105" s="143"/>
      <c r="T105" s="78">
        <v>53.11</v>
      </c>
      <c r="U105" s="418">
        <v>50.08</v>
      </c>
    </row>
    <row r="106" spans="1:21">
      <c r="A106" s="501"/>
      <c r="B106" s="161" t="s">
        <v>516</v>
      </c>
      <c r="C106" s="162">
        <f>K106/F106</f>
        <v>5.9248000000000003</v>
      </c>
      <c r="D106" s="163">
        <v>5</v>
      </c>
      <c r="E106" s="163">
        <f t="shared" si="17"/>
        <v>5</v>
      </c>
      <c r="F106" s="164">
        <v>25</v>
      </c>
      <c r="G106" s="163" t="s">
        <v>5</v>
      </c>
      <c r="H106" s="163">
        <v>600</v>
      </c>
      <c r="I106" s="163" t="s">
        <v>353</v>
      </c>
      <c r="J106" s="423">
        <v>159.97</v>
      </c>
      <c r="K106" s="423">
        <v>148.12</v>
      </c>
      <c r="L106" s="544"/>
      <c r="M106" s="416">
        <v>45292</v>
      </c>
      <c r="N106" s="416"/>
      <c r="O106" s="162" t="e">
        <f>W106/R106</f>
        <v>#DIV/0!</v>
      </c>
      <c r="P106" s="423">
        <v>155.91999999999999</v>
      </c>
      <c r="Q106" s="423">
        <v>144.37</v>
      </c>
      <c r="R106" s="143"/>
      <c r="T106" s="78">
        <v>151.46</v>
      </c>
      <c r="U106" s="418">
        <v>142.94</v>
      </c>
    </row>
    <row r="107" spans="1:21">
      <c r="A107" s="453"/>
      <c r="B107" s="424" t="s">
        <v>98</v>
      </c>
      <c r="C107" s="425"/>
      <c r="D107" s="426"/>
      <c r="E107" s="426"/>
      <c r="F107" s="427"/>
      <c r="G107" s="426"/>
      <c r="H107" s="426"/>
      <c r="I107" s="426"/>
      <c r="J107" s="426"/>
      <c r="K107" s="426"/>
      <c r="L107" s="542"/>
      <c r="M107" s="132"/>
      <c r="N107" s="132"/>
      <c r="O107" s="425"/>
      <c r="P107" s="426"/>
      <c r="Q107" s="426"/>
      <c r="R107" s="132"/>
    </row>
    <row r="108" spans="1:21">
      <c r="A108" s="502" t="s">
        <v>9</v>
      </c>
      <c r="B108" s="103" t="s">
        <v>98</v>
      </c>
      <c r="C108" s="100"/>
      <c r="D108" s="101"/>
      <c r="E108" s="101"/>
      <c r="F108" s="102"/>
      <c r="G108" s="101"/>
      <c r="H108" s="101"/>
      <c r="I108" s="101"/>
      <c r="J108" s="101"/>
      <c r="K108" s="101"/>
      <c r="L108" s="542"/>
      <c r="M108" s="132"/>
      <c r="N108" s="132"/>
      <c r="O108" s="100"/>
      <c r="P108" s="101"/>
      <c r="Q108" s="101"/>
      <c r="R108" s="132"/>
    </row>
    <row r="109" spans="1:21">
      <c r="A109" s="502"/>
      <c r="B109" s="184" t="s">
        <v>533</v>
      </c>
      <c r="C109" s="185">
        <f>K109/F109</f>
        <v>1.1192</v>
      </c>
      <c r="D109" s="186" t="s">
        <v>98</v>
      </c>
      <c r="E109" s="186">
        <f>1.25*2*3</f>
        <v>7.5</v>
      </c>
      <c r="F109" s="187">
        <v>25</v>
      </c>
      <c r="G109" s="186" t="s">
        <v>5</v>
      </c>
      <c r="H109" s="186">
        <v>1200</v>
      </c>
      <c r="I109" s="186" t="s">
        <v>346</v>
      </c>
      <c r="J109" s="428">
        <f>J103</f>
        <v>30.22</v>
      </c>
      <c r="K109" s="428">
        <f>K103</f>
        <v>27.98</v>
      </c>
      <c r="L109" s="544"/>
      <c r="M109" s="416">
        <v>45292</v>
      </c>
      <c r="N109" s="416"/>
      <c r="O109" s="185" t="e">
        <f>W109/R109</f>
        <v>#DIV/0!</v>
      </c>
      <c r="P109" s="428">
        <f>P103</f>
        <v>30.22</v>
      </c>
      <c r="Q109" s="428">
        <f>Q103</f>
        <v>27.98</v>
      </c>
      <c r="R109" s="143"/>
      <c r="T109" s="78">
        <v>28.69</v>
      </c>
      <c r="U109" s="418">
        <v>27</v>
      </c>
    </row>
    <row r="110" spans="1:21">
      <c r="A110" s="502"/>
      <c r="B110" s="184" t="s">
        <v>534</v>
      </c>
      <c r="C110" s="185">
        <f>K110/F110</f>
        <v>1.2076</v>
      </c>
      <c r="D110" s="186" t="s">
        <v>98</v>
      </c>
      <c r="E110" s="186">
        <f>1.25*2*3</f>
        <v>7.5</v>
      </c>
      <c r="F110" s="187">
        <v>25</v>
      </c>
      <c r="G110" s="186" t="s">
        <v>5</v>
      </c>
      <c r="H110" s="186">
        <v>1200</v>
      </c>
      <c r="I110" s="186" t="s">
        <v>346</v>
      </c>
      <c r="J110" s="428">
        <f t="shared" ref="J110:K112" si="18">J104</f>
        <v>32.6</v>
      </c>
      <c r="K110" s="428">
        <f t="shared" si="18"/>
        <v>30.19</v>
      </c>
      <c r="L110" s="544"/>
      <c r="M110" s="416">
        <v>45292</v>
      </c>
      <c r="N110" s="416"/>
      <c r="O110" s="185" t="e">
        <f>W110/R110</f>
        <v>#DIV/0!</v>
      </c>
      <c r="P110" s="428">
        <f t="shared" ref="P110:Q112" si="19">P104</f>
        <v>32.6</v>
      </c>
      <c r="Q110" s="428">
        <f t="shared" si="19"/>
        <v>30.19</v>
      </c>
      <c r="R110" s="143"/>
      <c r="T110" s="78">
        <v>30.88</v>
      </c>
      <c r="U110" s="418">
        <v>29.13</v>
      </c>
    </row>
    <row r="111" spans="1:21">
      <c r="A111" s="502"/>
      <c r="B111" s="184" t="s">
        <v>535</v>
      </c>
      <c r="C111" s="185">
        <f>K111/F111</f>
        <v>2.0760000000000001</v>
      </c>
      <c r="D111" s="186" t="s">
        <v>98</v>
      </c>
      <c r="E111" s="186">
        <f>1.25*2*3</f>
        <v>7.5</v>
      </c>
      <c r="F111" s="187">
        <v>25</v>
      </c>
      <c r="G111" s="186" t="s">
        <v>5</v>
      </c>
      <c r="H111" s="186">
        <v>1200</v>
      </c>
      <c r="I111" s="186" t="s">
        <v>346</v>
      </c>
      <c r="J111" s="428">
        <f t="shared" si="18"/>
        <v>56.05</v>
      </c>
      <c r="K111" s="428">
        <f t="shared" si="18"/>
        <v>51.9</v>
      </c>
      <c r="L111" s="544"/>
      <c r="M111" s="416">
        <v>45292</v>
      </c>
      <c r="N111" s="416"/>
      <c r="O111" s="185" t="e">
        <f>W111/R111</f>
        <v>#DIV/0!</v>
      </c>
      <c r="P111" s="428">
        <f t="shared" si="19"/>
        <v>56.05</v>
      </c>
      <c r="Q111" s="428">
        <f t="shared" si="19"/>
        <v>50.58</v>
      </c>
      <c r="R111" s="143"/>
      <c r="T111" s="78">
        <v>53.11</v>
      </c>
      <c r="U111" s="418">
        <v>50.08</v>
      </c>
    </row>
    <row r="112" spans="1:21">
      <c r="A112" s="502"/>
      <c r="B112" s="184" t="s">
        <v>536</v>
      </c>
      <c r="C112" s="185">
        <f>K112/F112</f>
        <v>5.9248000000000003</v>
      </c>
      <c r="D112" s="186" t="s">
        <v>98</v>
      </c>
      <c r="E112" s="186">
        <f>1.25*2*3</f>
        <v>7.5</v>
      </c>
      <c r="F112" s="187">
        <v>25</v>
      </c>
      <c r="G112" s="186" t="s">
        <v>5</v>
      </c>
      <c r="H112" s="186">
        <v>600</v>
      </c>
      <c r="I112" s="186" t="s">
        <v>346</v>
      </c>
      <c r="J112" s="428">
        <f t="shared" si="18"/>
        <v>159.97</v>
      </c>
      <c r="K112" s="428">
        <f t="shared" si="18"/>
        <v>148.12</v>
      </c>
      <c r="L112" s="544"/>
      <c r="M112" s="416">
        <v>45292</v>
      </c>
      <c r="N112" s="416"/>
      <c r="O112" s="185" t="e">
        <f>W112/R112</f>
        <v>#DIV/0!</v>
      </c>
      <c r="P112" s="428">
        <f t="shared" si="19"/>
        <v>155.91999999999999</v>
      </c>
      <c r="Q112" s="428">
        <f t="shared" si="19"/>
        <v>144.37</v>
      </c>
      <c r="R112" s="143"/>
      <c r="T112" s="78">
        <v>151.46</v>
      </c>
      <c r="U112" s="418">
        <v>142.94</v>
      </c>
    </row>
    <row r="113" spans="1:20">
      <c r="A113" s="77"/>
      <c r="B113" s="104"/>
      <c r="C113" s="78"/>
      <c r="D113" s="78"/>
      <c r="E113" s="78"/>
      <c r="F113" s="87"/>
      <c r="G113" s="78"/>
      <c r="J113" s="78"/>
      <c r="K113" s="78"/>
      <c r="O113" s="78"/>
      <c r="P113" s="78"/>
      <c r="Q113" s="78"/>
    </row>
    <row r="114" spans="1:20">
      <c r="A114" s="505" t="s">
        <v>291</v>
      </c>
      <c r="B114" s="188" t="s">
        <v>611</v>
      </c>
      <c r="C114" s="190">
        <f>K114/F114</f>
        <v>0.66439999999999999</v>
      </c>
      <c r="D114" s="190">
        <v>6</v>
      </c>
      <c r="E114" s="190">
        <v>5.5</v>
      </c>
      <c r="F114" s="191">
        <v>100</v>
      </c>
      <c r="G114" s="190" t="s">
        <v>8</v>
      </c>
      <c r="H114" s="190" t="s">
        <v>98</v>
      </c>
      <c r="I114" s="190" t="s">
        <v>351</v>
      </c>
      <c r="J114" s="429">
        <v>66.44</v>
      </c>
      <c r="K114" s="429">
        <f>J114</f>
        <v>66.44</v>
      </c>
      <c r="L114" s="544"/>
      <c r="M114" s="416">
        <v>45292</v>
      </c>
      <c r="N114" s="416"/>
      <c r="O114" s="190" t="e">
        <f>W114/R114</f>
        <v>#DIV/0!</v>
      </c>
      <c r="P114" s="429">
        <v>64.75</v>
      </c>
      <c r="Q114" s="429">
        <f>P114</f>
        <v>64.75</v>
      </c>
      <c r="T114" s="78">
        <v>64.11</v>
      </c>
    </row>
    <row r="115" spans="1:20">
      <c r="A115" s="505"/>
      <c r="B115" s="188" t="s">
        <v>612</v>
      </c>
      <c r="C115" s="196">
        <f t="shared" ref="C115:C124" si="20">K115/F115</f>
        <v>0.70609999999999995</v>
      </c>
      <c r="D115" s="190">
        <v>6</v>
      </c>
      <c r="E115" s="190">
        <v>5.5</v>
      </c>
      <c r="F115" s="191">
        <v>100</v>
      </c>
      <c r="G115" s="190" t="s">
        <v>8</v>
      </c>
      <c r="H115" s="190" t="s">
        <v>98</v>
      </c>
      <c r="I115" s="190" t="s">
        <v>351</v>
      </c>
      <c r="J115" s="429">
        <v>70.61</v>
      </c>
      <c r="K115" s="429">
        <f t="shared" ref="K115:K124" si="21">J115</f>
        <v>70.61</v>
      </c>
      <c r="L115" s="544"/>
      <c r="M115" s="416">
        <v>45292</v>
      </c>
      <c r="N115" s="416"/>
      <c r="O115" s="196" t="e">
        <f t="shared" ref="O115:O124" si="22">W115/R115</f>
        <v>#DIV/0!</v>
      </c>
      <c r="P115" s="429">
        <v>68.72</v>
      </c>
      <c r="Q115" s="429">
        <f t="shared" ref="Q115:Q124" si="23">P115</f>
        <v>68.72</v>
      </c>
      <c r="T115" s="78">
        <v>68.040000000000006</v>
      </c>
    </row>
    <row r="116" spans="1:20">
      <c r="A116" s="505"/>
      <c r="B116" s="188" t="s">
        <v>613</v>
      </c>
      <c r="C116" s="190">
        <f t="shared" si="20"/>
        <v>0.72230000000000005</v>
      </c>
      <c r="D116" s="190">
        <v>6</v>
      </c>
      <c r="E116" s="190">
        <v>5.5</v>
      </c>
      <c r="F116" s="191">
        <v>100</v>
      </c>
      <c r="G116" s="190" t="s">
        <v>8</v>
      </c>
      <c r="H116" s="190" t="s">
        <v>98</v>
      </c>
      <c r="I116" s="190" t="s">
        <v>351</v>
      </c>
      <c r="J116" s="429">
        <v>72.23</v>
      </c>
      <c r="K116" s="429">
        <f t="shared" si="21"/>
        <v>72.23</v>
      </c>
      <c r="L116" s="544"/>
      <c r="M116" s="416">
        <v>45292</v>
      </c>
      <c r="N116" s="416"/>
      <c r="O116" s="190" t="e">
        <f t="shared" si="22"/>
        <v>#DIV/0!</v>
      </c>
      <c r="P116" s="429">
        <v>70.489999999999995</v>
      </c>
      <c r="Q116" s="429">
        <f t="shared" si="23"/>
        <v>70.489999999999995</v>
      </c>
      <c r="T116" s="78">
        <v>69.790400000000005</v>
      </c>
    </row>
    <row r="117" spans="1:20">
      <c r="A117" s="505"/>
      <c r="B117" s="188" t="s">
        <v>614</v>
      </c>
      <c r="C117" s="190">
        <f>K117/F117</f>
        <v>0.77410000000000001</v>
      </c>
      <c r="D117" s="190">
        <v>6</v>
      </c>
      <c r="E117" s="190">
        <v>5.5</v>
      </c>
      <c r="F117" s="191">
        <v>100</v>
      </c>
      <c r="G117" s="190" t="s">
        <v>8</v>
      </c>
      <c r="H117" s="190" t="s">
        <v>98</v>
      </c>
      <c r="I117" s="190" t="s">
        <v>351</v>
      </c>
      <c r="J117" s="429">
        <v>77.41</v>
      </c>
      <c r="K117" s="429">
        <f t="shared" si="21"/>
        <v>77.41</v>
      </c>
      <c r="L117" s="544"/>
      <c r="M117" s="416">
        <v>45292</v>
      </c>
      <c r="N117" s="416"/>
      <c r="O117" s="190" t="e">
        <f>W117/R117</f>
        <v>#DIV/0!</v>
      </c>
      <c r="P117" s="429">
        <v>75.55</v>
      </c>
      <c r="Q117" s="429">
        <f t="shared" si="23"/>
        <v>75.55</v>
      </c>
      <c r="T117" s="78">
        <v>74.804199999999994</v>
      </c>
    </row>
    <row r="118" spans="1:20">
      <c r="A118" s="505"/>
      <c r="B118" s="188" t="s">
        <v>615</v>
      </c>
      <c r="C118" s="190">
        <f t="shared" si="20"/>
        <v>0.86870000000000003</v>
      </c>
      <c r="D118" s="190">
        <v>6</v>
      </c>
      <c r="E118" s="190">
        <v>5.5</v>
      </c>
      <c r="F118" s="191">
        <v>100</v>
      </c>
      <c r="G118" s="190" t="s">
        <v>8</v>
      </c>
      <c r="H118" s="190" t="s">
        <v>98</v>
      </c>
      <c r="I118" s="190" t="s">
        <v>351</v>
      </c>
      <c r="J118" s="429">
        <v>86.87</v>
      </c>
      <c r="K118" s="429">
        <f t="shared" si="21"/>
        <v>86.87</v>
      </c>
      <c r="L118" s="544"/>
      <c r="M118" s="416">
        <v>45292</v>
      </c>
      <c r="N118" s="416"/>
      <c r="O118" s="190" t="e">
        <f t="shared" si="22"/>
        <v>#DIV/0!</v>
      </c>
      <c r="P118" s="429">
        <v>84.67</v>
      </c>
      <c r="Q118" s="429">
        <f t="shared" si="23"/>
        <v>84.67</v>
      </c>
      <c r="T118" s="78">
        <v>83.835400000000007</v>
      </c>
    </row>
    <row r="119" spans="1:20">
      <c r="A119" s="505"/>
      <c r="B119" s="188" t="s">
        <v>616</v>
      </c>
      <c r="C119" s="190">
        <f t="shared" si="20"/>
        <v>1.0168000000000001</v>
      </c>
      <c r="D119" s="190">
        <v>6</v>
      </c>
      <c r="E119" s="190">
        <v>5.5</v>
      </c>
      <c r="F119" s="191">
        <v>100</v>
      </c>
      <c r="G119" s="190" t="s">
        <v>8</v>
      </c>
      <c r="H119" s="190" t="s">
        <v>98</v>
      </c>
      <c r="I119" s="190" t="s">
        <v>351</v>
      </c>
      <c r="J119" s="429">
        <v>101.68</v>
      </c>
      <c r="K119" s="429">
        <f t="shared" si="21"/>
        <v>101.68</v>
      </c>
      <c r="L119" s="544"/>
      <c r="M119" s="416">
        <v>45292</v>
      </c>
      <c r="N119" s="416"/>
      <c r="O119" s="190" t="e">
        <f t="shared" si="22"/>
        <v>#DIV/0!</v>
      </c>
      <c r="P119" s="429">
        <v>98.79</v>
      </c>
      <c r="Q119" s="429">
        <f t="shared" si="23"/>
        <v>98.79</v>
      </c>
      <c r="T119" s="78">
        <v>97.816800000000001</v>
      </c>
    </row>
    <row r="120" spans="1:20">
      <c r="A120" s="505"/>
      <c r="B120" s="188" t="s">
        <v>617</v>
      </c>
      <c r="C120" s="190">
        <f t="shared" si="20"/>
        <v>1.1871</v>
      </c>
      <c r="D120" s="190">
        <v>6</v>
      </c>
      <c r="E120" s="190">
        <v>5.5</v>
      </c>
      <c r="F120" s="191">
        <v>100</v>
      </c>
      <c r="G120" s="190" t="s">
        <v>8</v>
      </c>
      <c r="H120" s="190" t="s">
        <v>98</v>
      </c>
      <c r="I120" s="190" t="s">
        <v>351</v>
      </c>
      <c r="J120" s="429">
        <v>118.71</v>
      </c>
      <c r="K120" s="429">
        <f t="shared" si="21"/>
        <v>118.71</v>
      </c>
      <c r="L120" s="544"/>
      <c r="M120" s="416">
        <v>45292</v>
      </c>
      <c r="N120" s="416"/>
      <c r="O120" s="190" t="e">
        <f t="shared" si="22"/>
        <v>#DIV/0!</v>
      </c>
      <c r="P120" s="429">
        <v>115.73</v>
      </c>
      <c r="Q120" s="429">
        <f t="shared" si="23"/>
        <v>115.73</v>
      </c>
      <c r="T120" s="78">
        <v>114.586</v>
      </c>
    </row>
    <row r="121" spans="1:20">
      <c r="A121" s="505"/>
      <c r="B121" s="188" t="s">
        <v>618</v>
      </c>
      <c r="C121" s="190">
        <f t="shared" si="20"/>
        <v>1.3374999999999999</v>
      </c>
      <c r="D121" s="190">
        <v>6</v>
      </c>
      <c r="E121" s="190">
        <v>5.5</v>
      </c>
      <c r="F121" s="191">
        <v>100</v>
      </c>
      <c r="G121" s="190" t="s">
        <v>8</v>
      </c>
      <c r="H121" s="190" t="s">
        <v>98</v>
      </c>
      <c r="I121" s="190" t="s">
        <v>351</v>
      </c>
      <c r="J121" s="429">
        <v>133.75</v>
      </c>
      <c r="K121" s="429">
        <f t="shared" si="21"/>
        <v>133.75</v>
      </c>
      <c r="L121" s="544"/>
      <c r="M121" s="416">
        <v>45292</v>
      </c>
      <c r="N121" s="416"/>
      <c r="O121" s="190" t="e">
        <f t="shared" si="22"/>
        <v>#DIV/0!</v>
      </c>
      <c r="P121" s="429">
        <v>130.19999999999999</v>
      </c>
      <c r="Q121" s="429">
        <f t="shared" si="23"/>
        <v>130.19999999999999</v>
      </c>
      <c r="T121" s="78">
        <v>128.9066</v>
      </c>
    </row>
    <row r="122" spans="1:20">
      <c r="A122" s="505"/>
      <c r="B122" s="188" t="s">
        <v>619</v>
      </c>
      <c r="C122" s="190">
        <f t="shared" si="20"/>
        <v>1.9687000000000001</v>
      </c>
      <c r="D122" s="190">
        <v>6</v>
      </c>
      <c r="E122" s="190">
        <v>5.5</v>
      </c>
      <c r="F122" s="191">
        <v>100</v>
      </c>
      <c r="G122" s="190" t="s">
        <v>8</v>
      </c>
      <c r="H122" s="190" t="s">
        <v>98</v>
      </c>
      <c r="I122" s="190" t="s">
        <v>351</v>
      </c>
      <c r="J122" s="429">
        <v>196.87</v>
      </c>
      <c r="K122" s="429">
        <f t="shared" si="21"/>
        <v>196.87</v>
      </c>
      <c r="L122" s="544"/>
      <c r="M122" s="416">
        <v>45292</v>
      </c>
      <c r="N122" s="416"/>
      <c r="O122" s="190" t="e">
        <f t="shared" si="22"/>
        <v>#DIV/0!</v>
      </c>
      <c r="P122" s="429">
        <v>191.71</v>
      </c>
      <c r="Q122" s="429">
        <f t="shared" si="23"/>
        <v>191.71</v>
      </c>
      <c r="T122" s="78">
        <v>189.8142</v>
      </c>
    </row>
    <row r="123" spans="1:20">
      <c r="A123" s="505"/>
      <c r="B123" s="188" t="s">
        <v>620</v>
      </c>
      <c r="C123" s="190">
        <f t="shared" si="20"/>
        <v>2.1962000000000002</v>
      </c>
      <c r="D123" s="190">
        <v>6</v>
      </c>
      <c r="E123" s="190">
        <v>5.5</v>
      </c>
      <c r="F123" s="191">
        <v>100</v>
      </c>
      <c r="G123" s="190" t="s">
        <v>8</v>
      </c>
      <c r="H123" s="190" t="s">
        <v>98</v>
      </c>
      <c r="I123" s="190" t="s">
        <v>351</v>
      </c>
      <c r="J123" s="429">
        <v>219.62</v>
      </c>
      <c r="K123" s="429">
        <f t="shared" si="21"/>
        <v>219.62</v>
      </c>
      <c r="L123" s="544"/>
      <c r="M123" s="416">
        <v>45292</v>
      </c>
      <c r="N123" s="416"/>
      <c r="O123" s="190" t="e">
        <f t="shared" si="22"/>
        <v>#DIV/0!</v>
      </c>
      <c r="P123" s="429">
        <v>214.1</v>
      </c>
      <c r="Q123" s="429">
        <f t="shared" si="23"/>
        <v>214.1</v>
      </c>
      <c r="T123" s="78">
        <v>211.97880000000001</v>
      </c>
    </row>
    <row r="124" spans="1:20">
      <c r="A124" s="505"/>
      <c r="B124" s="188" t="s">
        <v>621</v>
      </c>
      <c r="C124" s="190">
        <f t="shared" si="20"/>
        <v>2.4462000000000002</v>
      </c>
      <c r="D124" s="190">
        <v>6</v>
      </c>
      <c r="E124" s="190">
        <v>5.5</v>
      </c>
      <c r="F124" s="191">
        <v>100</v>
      </c>
      <c r="G124" s="190" t="s">
        <v>8</v>
      </c>
      <c r="H124" s="190" t="s">
        <v>98</v>
      </c>
      <c r="I124" s="190" t="s">
        <v>351</v>
      </c>
      <c r="J124" s="429">
        <v>244.62</v>
      </c>
      <c r="K124" s="429">
        <f t="shared" si="21"/>
        <v>244.62</v>
      </c>
      <c r="L124" s="544"/>
      <c r="M124" s="416">
        <v>45292</v>
      </c>
      <c r="N124" s="416"/>
      <c r="O124" s="190" t="e">
        <f t="shared" si="22"/>
        <v>#DIV/0!</v>
      </c>
      <c r="P124" s="429">
        <v>238.68</v>
      </c>
      <c r="Q124" s="429">
        <f t="shared" si="23"/>
        <v>238.68</v>
      </c>
      <c r="T124" s="78">
        <v>236.31640000000002</v>
      </c>
    </row>
    <row r="125" spans="1:20">
      <c r="A125" s="505"/>
      <c r="B125" s="108" t="s">
        <v>98</v>
      </c>
      <c r="C125" s="69"/>
      <c r="D125" s="69"/>
      <c r="E125" s="69"/>
      <c r="F125" s="90"/>
      <c r="G125" s="69"/>
      <c r="H125" s="69"/>
      <c r="I125" s="69"/>
      <c r="J125" s="69"/>
      <c r="K125" s="69"/>
      <c r="O125" s="69"/>
      <c r="P125" s="69"/>
      <c r="Q125" s="69"/>
    </row>
    <row r="126" spans="1:20">
      <c r="A126" s="505"/>
      <c r="B126" s="188" t="s">
        <v>622</v>
      </c>
      <c r="C126" s="190">
        <f>K126/F126</f>
        <v>0.96970000000000001</v>
      </c>
      <c r="D126" s="190">
        <v>6</v>
      </c>
      <c r="E126" s="190">
        <v>5.5</v>
      </c>
      <c r="F126" s="191">
        <v>100</v>
      </c>
      <c r="G126" s="190" t="s">
        <v>8</v>
      </c>
      <c r="H126" s="190" t="s">
        <v>98</v>
      </c>
      <c r="I126" s="190" t="s">
        <v>351</v>
      </c>
      <c r="J126" s="429">
        <v>96.97</v>
      </c>
      <c r="K126" s="429">
        <f>J126</f>
        <v>96.97</v>
      </c>
      <c r="L126" s="544"/>
      <c r="M126" s="416">
        <v>45292</v>
      </c>
      <c r="N126" s="416"/>
      <c r="O126" s="190" t="e">
        <f>W126/R126</f>
        <v>#DIV/0!</v>
      </c>
      <c r="P126" s="429">
        <v>94.49</v>
      </c>
      <c r="Q126" s="429">
        <f>P126</f>
        <v>94.49</v>
      </c>
      <c r="T126" s="78">
        <v>93.555600000000013</v>
      </c>
    </row>
    <row r="127" spans="1:20">
      <c r="A127" s="505"/>
      <c r="B127" s="188" t="s">
        <v>623</v>
      </c>
      <c r="C127" s="190">
        <f>K127/F127</f>
        <v>1.1198999999999999</v>
      </c>
      <c r="D127" s="190">
        <v>6</v>
      </c>
      <c r="E127" s="190">
        <v>5.5</v>
      </c>
      <c r="F127" s="191">
        <v>100</v>
      </c>
      <c r="G127" s="190" t="s">
        <v>8</v>
      </c>
      <c r="H127" s="190" t="s">
        <v>98</v>
      </c>
      <c r="I127" s="190" t="s">
        <v>351</v>
      </c>
      <c r="J127" s="429">
        <v>111.99</v>
      </c>
      <c r="K127" s="429">
        <f t="shared" ref="K127:K130" si="24">J127</f>
        <v>111.99</v>
      </c>
      <c r="L127" s="544"/>
      <c r="M127" s="416">
        <v>45292</v>
      </c>
      <c r="N127" s="416"/>
      <c r="O127" s="190" t="e">
        <f>W127/R127</f>
        <v>#DIV/0!</v>
      </c>
      <c r="P127" s="429">
        <v>108.49</v>
      </c>
      <c r="Q127" s="429">
        <f t="shared" ref="Q127:Q130" si="25">P127</f>
        <v>108.49</v>
      </c>
      <c r="T127" s="78">
        <v>107.42040000000001</v>
      </c>
    </row>
    <row r="128" spans="1:20">
      <c r="A128" s="505"/>
      <c r="B128" s="188" t="s">
        <v>624</v>
      </c>
      <c r="C128" s="190">
        <f>K128/F128</f>
        <v>1.3634999999999999</v>
      </c>
      <c r="D128" s="190">
        <v>6</v>
      </c>
      <c r="E128" s="190">
        <v>5.5</v>
      </c>
      <c r="F128" s="191">
        <v>100</v>
      </c>
      <c r="G128" s="190" t="s">
        <v>8</v>
      </c>
      <c r="H128" s="190" t="s">
        <v>98</v>
      </c>
      <c r="I128" s="190" t="s">
        <v>351</v>
      </c>
      <c r="J128" s="429">
        <v>136.35</v>
      </c>
      <c r="K128" s="429">
        <f t="shared" si="24"/>
        <v>136.35</v>
      </c>
      <c r="L128" s="544"/>
      <c r="M128" s="416">
        <v>45292</v>
      </c>
      <c r="N128" s="416"/>
      <c r="O128" s="190" t="e">
        <f>W128/R128</f>
        <v>#DIV/0!</v>
      </c>
      <c r="P128" s="429">
        <v>132.21</v>
      </c>
      <c r="Q128" s="429">
        <f t="shared" si="25"/>
        <v>132.21</v>
      </c>
      <c r="T128" s="78">
        <v>130.89940000000001</v>
      </c>
    </row>
    <row r="129" spans="1:20">
      <c r="A129" s="505"/>
      <c r="B129" s="188" t="s">
        <v>625</v>
      </c>
      <c r="C129" s="190">
        <f>K129/F129</f>
        <v>1.5581</v>
      </c>
      <c r="D129" s="190">
        <v>6</v>
      </c>
      <c r="E129" s="190">
        <v>5.5</v>
      </c>
      <c r="F129" s="191">
        <v>100</v>
      </c>
      <c r="G129" s="190" t="s">
        <v>8</v>
      </c>
      <c r="H129" s="190" t="s">
        <v>98</v>
      </c>
      <c r="I129" s="190" t="s">
        <v>351</v>
      </c>
      <c r="J129" s="429">
        <v>155.81</v>
      </c>
      <c r="K129" s="429">
        <f t="shared" si="24"/>
        <v>155.81</v>
      </c>
      <c r="L129" s="544"/>
      <c r="M129" s="416">
        <v>45292</v>
      </c>
      <c r="N129" s="416"/>
      <c r="O129" s="190" t="e">
        <f>W129/R129</f>
        <v>#DIV/0!</v>
      </c>
      <c r="P129" s="429">
        <v>151.04</v>
      </c>
      <c r="Q129" s="429">
        <f t="shared" si="25"/>
        <v>151.04</v>
      </c>
      <c r="T129" s="78">
        <v>149.54480000000001</v>
      </c>
    </row>
    <row r="130" spans="1:20">
      <c r="A130" s="505"/>
      <c r="B130" s="188" t="s">
        <v>626</v>
      </c>
      <c r="C130" s="190">
        <f>K130/F130</f>
        <v>1.8794999999999999</v>
      </c>
      <c r="D130" s="190">
        <v>6</v>
      </c>
      <c r="E130" s="190">
        <v>5.5</v>
      </c>
      <c r="F130" s="191">
        <v>100</v>
      </c>
      <c r="G130" s="190" t="s">
        <v>8</v>
      </c>
      <c r="H130" s="190" t="s">
        <v>98</v>
      </c>
      <c r="I130" s="190" t="s">
        <v>351</v>
      </c>
      <c r="J130" s="429">
        <v>187.95</v>
      </c>
      <c r="K130" s="429">
        <f t="shared" si="24"/>
        <v>187.95</v>
      </c>
      <c r="L130" s="544"/>
      <c r="M130" s="416">
        <v>45292</v>
      </c>
      <c r="N130" s="416"/>
      <c r="O130" s="190" t="e">
        <f>W130/R130</f>
        <v>#DIV/0!</v>
      </c>
      <c r="P130" s="429">
        <v>182.64</v>
      </c>
      <c r="Q130" s="429">
        <f t="shared" si="25"/>
        <v>182.64</v>
      </c>
      <c r="T130" s="78">
        <v>180.83600000000001</v>
      </c>
    </row>
    <row r="131" spans="1:20">
      <c r="A131" s="505"/>
      <c r="B131" s="108" t="s">
        <v>98</v>
      </c>
      <c r="C131" s="69"/>
      <c r="D131" s="69"/>
      <c r="E131" s="69"/>
      <c r="F131" s="90"/>
      <c r="G131" s="69"/>
      <c r="H131" s="69"/>
      <c r="I131" s="69"/>
      <c r="J131" s="69"/>
      <c r="K131" s="69"/>
      <c r="O131" s="69"/>
      <c r="P131" s="69"/>
      <c r="Q131" s="69"/>
    </row>
    <row r="132" spans="1:20">
      <c r="A132" s="505"/>
      <c r="B132" s="188" t="s">
        <v>627</v>
      </c>
      <c r="C132" s="196">
        <f t="shared" ref="C132:C138" si="26">K132/F132</f>
        <v>0.9133</v>
      </c>
      <c r="D132" s="190">
        <v>6</v>
      </c>
      <c r="E132" s="190">
        <v>5.5</v>
      </c>
      <c r="F132" s="191">
        <v>100</v>
      </c>
      <c r="G132" s="190" t="s">
        <v>8</v>
      </c>
      <c r="H132" s="190" t="s">
        <v>98</v>
      </c>
      <c r="I132" s="190" t="s">
        <v>351</v>
      </c>
      <c r="J132" s="429">
        <v>91.33</v>
      </c>
      <c r="K132" s="429">
        <f>J132</f>
        <v>91.33</v>
      </c>
      <c r="L132" s="544"/>
      <c r="M132" s="416">
        <v>45292</v>
      </c>
      <c r="N132" s="416"/>
      <c r="O132" s="196" t="e">
        <f t="shared" ref="O132:O138" si="27">W132/R132</f>
        <v>#DIV/0!</v>
      </c>
      <c r="P132" s="429">
        <v>89.06</v>
      </c>
      <c r="Q132" s="429">
        <f>P132</f>
        <v>89.06</v>
      </c>
      <c r="T132" s="78">
        <v>88.181399999999996</v>
      </c>
    </row>
    <row r="133" spans="1:20">
      <c r="A133" s="505"/>
      <c r="B133" s="188" t="s">
        <v>628</v>
      </c>
      <c r="C133" s="196">
        <f t="shared" si="26"/>
        <v>1.0221</v>
      </c>
      <c r="D133" s="190">
        <v>6</v>
      </c>
      <c r="E133" s="190">
        <v>5.5</v>
      </c>
      <c r="F133" s="191">
        <v>100</v>
      </c>
      <c r="G133" s="190" t="s">
        <v>8</v>
      </c>
      <c r="H133" s="190" t="s">
        <v>98</v>
      </c>
      <c r="I133" s="190" t="s">
        <v>351</v>
      </c>
      <c r="J133" s="429">
        <v>102.21</v>
      </c>
      <c r="K133" s="429">
        <f t="shared" ref="K133:K138" si="28">J133</f>
        <v>102.21</v>
      </c>
      <c r="L133" s="544"/>
      <c r="M133" s="416">
        <v>45292</v>
      </c>
      <c r="N133" s="416"/>
      <c r="O133" s="196" t="e">
        <f t="shared" si="27"/>
        <v>#DIV/0!</v>
      </c>
      <c r="P133" s="429">
        <v>99.59</v>
      </c>
      <c r="Q133" s="429">
        <f t="shared" ref="Q133:Q138" si="29">P133</f>
        <v>99.59</v>
      </c>
      <c r="T133" s="78">
        <v>98.601200000000006</v>
      </c>
    </row>
    <row r="134" spans="1:20">
      <c r="A134" s="505"/>
      <c r="B134" s="188" t="s">
        <v>629</v>
      </c>
      <c r="C134" s="196">
        <f t="shared" si="26"/>
        <v>1.1488</v>
      </c>
      <c r="D134" s="190">
        <v>6</v>
      </c>
      <c r="E134" s="190">
        <v>5.5</v>
      </c>
      <c r="F134" s="191">
        <v>100</v>
      </c>
      <c r="G134" s="190" t="s">
        <v>8</v>
      </c>
      <c r="H134" s="190" t="s">
        <v>98</v>
      </c>
      <c r="I134" s="190" t="s">
        <v>351</v>
      </c>
      <c r="J134" s="429">
        <v>114.88</v>
      </c>
      <c r="K134" s="429">
        <f t="shared" si="28"/>
        <v>114.88</v>
      </c>
      <c r="L134" s="544"/>
      <c r="M134" s="416">
        <v>45292</v>
      </c>
      <c r="N134" s="416"/>
      <c r="O134" s="196" t="e">
        <f t="shared" si="27"/>
        <v>#DIV/0!</v>
      </c>
      <c r="P134" s="429">
        <v>111.52</v>
      </c>
      <c r="Q134" s="429">
        <f t="shared" si="29"/>
        <v>111.52</v>
      </c>
      <c r="T134" s="78">
        <v>110.42020000000001</v>
      </c>
    </row>
    <row r="135" spans="1:20">
      <c r="A135" s="505"/>
      <c r="B135" s="188" t="s">
        <v>630</v>
      </c>
      <c r="C135" s="196">
        <f t="shared" si="26"/>
        <v>1.3088</v>
      </c>
      <c r="D135" s="190">
        <v>6</v>
      </c>
      <c r="E135" s="190">
        <v>5.5</v>
      </c>
      <c r="F135" s="191">
        <v>100</v>
      </c>
      <c r="G135" s="190" t="s">
        <v>8</v>
      </c>
      <c r="H135" s="190" t="s">
        <v>98</v>
      </c>
      <c r="I135" s="190" t="s">
        <v>351</v>
      </c>
      <c r="J135" s="429">
        <v>130.88</v>
      </c>
      <c r="K135" s="429">
        <f t="shared" si="28"/>
        <v>130.88</v>
      </c>
      <c r="L135" s="544"/>
      <c r="M135" s="416">
        <v>45292</v>
      </c>
      <c r="N135" s="416"/>
      <c r="O135" s="196" t="e">
        <f t="shared" si="27"/>
        <v>#DIV/0!</v>
      </c>
      <c r="P135" s="429">
        <v>127.08</v>
      </c>
      <c r="Q135" s="429">
        <f t="shared" si="29"/>
        <v>127.08</v>
      </c>
      <c r="T135" s="78">
        <v>125.822</v>
      </c>
    </row>
    <row r="136" spans="1:20">
      <c r="A136" s="505"/>
      <c r="B136" s="188" t="s">
        <v>631</v>
      </c>
      <c r="C136" s="196">
        <f t="shared" si="26"/>
        <v>1.5363999999999998</v>
      </c>
      <c r="D136" s="190">
        <v>6</v>
      </c>
      <c r="E136" s="190">
        <v>5.5</v>
      </c>
      <c r="F136" s="191">
        <v>100</v>
      </c>
      <c r="G136" s="190" t="s">
        <v>8</v>
      </c>
      <c r="H136" s="190" t="s">
        <v>98</v>
      </c>
      <c r="I136" s="190" t="s">
        <v>351</v>
      </c>
      <c r="J136" s="429">
        <v>153.63999999999999</v>
      </c>
      <c r="K136" s="429">
        <f t="shared" si="28"/>
        <v>153.63999999999999</v>
      </c>
      <c r="L136" s="544"/>
      <c r="M136" s="416">
        <v>45292</v>
      </c>
      <c r="N136" s="416"/>
      <c r="O136" s="196" t="e">
        <f t="shared" si="27"/>
        <v>#DIV/0!</v>
      </c>
      <c r="P136" s="429">
        <v>149.41999999999999</v>
      </c>
      <c r="Q136" s="429">
        <f t="shared" si="29"/>
        <v>149.41999999999999</v>
      </c>
      <c r="T136" s="78">
        <v>147.9442</v>
      </c>
    </row>
    <row r="137" spans="1:20">
      <c r="A137" s="505"/>
      <c r="B137" s="188" t="s">
        <v>632</v>
      </c>
      <c r="C137" s="196">
        <f t="shared" si="26"/>
        <v>1.6943000000000001</v>
      </c>
      <c r="D137" s="190">
        <v>6</v>
      </c>
      <c r="E137" s="190">
        <v>5.5</v>
      </c>
      <c r="F137" s="191">
        <v>100</v>
      </c>
      <c r="G137" s="190" t="s">
        <v>8</v>
      </c>
      <c r="H137" s="190" t="s">
        <v>98</v>
      </c>
      <c r="I137" s="190" t="s">
        <v>351</v>
      </c>
      <c r="J137" s="429">
        <v>169.43</v>
      </c>
      <c r="K137" s="429">
        <f t="shared" si="28"/>
        <v>169.43</v>
      </c>
      <c r="L137" s="544"/>
      <c r="M137" s="416">
        <v>45292</v>
      </c>
      <c r="N137" s="416"/>
      <c r="O137" s="196" t="e">
        <f t="shared" si="27"/>
        <v>#DIV/0!</v>
      </c>
      <c r="P137" s="429">
        <v>164.4</v>
      </c>
      <c r="Q137" s="429">
        <f t="shared" si="29"/>
        <v>164.4</v>
      </c>
      <c r="T137" s="78">
        <v>162.77360000000002</v>
      </c>
    </row>
    <row r="138" spans="1:20">
      <c r="A138" s="505"/>
      <c r="B138" s="188" t="s">
        <v>633</v>
      </c>
      <c r="C138" s="196">
        <f t="shared" si="26"/>
        <v>1.8341000000000001</v>
      </c>
      <c r="D138" s="190">
        <v>6</v>
      </c>
      <c r="E138" s="190">
        <v>5.5</v>
      </c>
      <c r="F138" s="191">
        <v>100</v>
      </c>
      <c r="G138" s="190" t="s">
        <v>8</v>
      </c>
      <c r="H138" s="190" t="s">
        <v>98</v>
      </c>
      <c r="I138" s="190" t="s">
        <v>351</v>
      </c>
      <c r="J138" s="429">
        <v>183.41</v>
      </c>
      <c r="K138" s="429">
        <f t="shared" si="28"/>
        <v>183.41</v>
      </c>
      <c r="L138" s="544"/>
      <c r="M138" s="416">
        <v>45292</v>
      </c>
      <c r="N138" s="416"/>
      <c r="O138" s="196" t="e">
        <f t="shared" si="27"/>
        <v>#DIV/0!</v>
      </c>
      <c r="P138" s="429">
        <v>178.9</v>
      </c>
      <c r="Q138" s="429">
        <f t="shared" si="29"/>
        <v>178.9</v>
      </c>
      <c r="T138" s="78">
        <v>177.126</v>
      </c>
    </row>
    <row r="139" spans="1:20">
      <c r="A139" s="505"/>
      <c r="B139" s="108" t="s">
        <v>98</v>
      </c>
      <c r="C139" s="69"/>
      <c r="D139" s="69"/>
      <c r="E139" s="69"/>
      <c r="F139" s="90"/>
      <c r="G139" s="69"/>
      <c r="H139" s="69"/>
      <c r="I139" s="69"/>
      <c r="J139" s="69"/>
      <c r="K139" s="69"/>
      <c r="O139" s="69"/>
      <c r="P139" s="69"/>
      <c r="Q139" s="69"/>
    </row>
    <row r="140" spans="1:20">
      <c r="A140" s="505"/>
      <c r="B140" s="188" t="s">
        <v>634</v>
      </c>
      <c r="C140" s="196">
        <f>K140/F140</f>
        <v>0.43825000000000003</v>
      </c>
      <c r="D140" s="190">
        <v>6</v>
      </c>
      <c r="E140" s="190">
        <v>5.5</v>
      </c>
      <c r="F140" s="191">
        <v>200</v>
      </c>
      <c r="G140" s="190" t="s">
        <v>8</v>
      </c>
      <c r="H140" s="190" t="s">
        <v>98</v>
      </c>
      <c r="I140" s="190" t="s">
        <v>351</v>
      </c>
      <c r="J140" s="429">
        <v>87.65</v>
      </c>
      <c r="K140" s="429">
        <f>J140</f>
        <v>87.65</v>
      </c>
      <c r="L140" s="544"/>
      <c r="M140" s="416">
        <v>45292</v>
      </c>
      <c r="N140" s="416"/>
      <c r="O140" s="196" t="e">
        <f>W140/R140</f>
        <v>#DIV/0!</v>
      </c>
      <c r="P140" s="429">
        <v>85.51</v>
      </c>
      <c r="Q140" s="429">
        <f>P140</f>
        <v>85.51</v>
      </c>
      <c r="T140" s="78">
        <v>84.662200000000013</v>
      </c>
    </row>
    <row r="141" spans="1:20">
      <c r="A141" s="505"/>
      <c r="B141" s="188" t="s">
        <v>635</v>
      </c>
      <c r="C141" s="196">
        <f t="shared" ref="C141:C148" si="30">K141/F141</f>
        <v>0.46255000000000002</v>
      </c>
      <c r="D141" s="190">
        <v>6</v>
      </c>
      <c r="E141" s="190">
        <v>5.5</v>
      </c>
      <c r="F141" s="191">
        <v>200</v>
      </c>
      <c r="G141" s="190" t="s">
        <v>8</v>
      </c>
      <c r="H141" s="190" t="s">
        <v>98</v>
      </c>
      <c r="I141" s="190" t="s">
        <v>351</v>
      </c>
      <c r="J141" s="429">
        <v>92.51</v>
      </c>
      <c r="K141" s="429">
        <f t="shared" ref="K141:K148" si="31">J141</f>
        <v>92.51</v>
      </c>
      <c r="L141" s="544"/>
      <c r="M141" s="416">
        <v>45292</v>
      </c>
      <c r="N141" s="416"/>
      <c r="O141" s="196" t="e">
        <f t="shared" ref="O141:O148" si="32">W141/R141</f>
        <v>#DIV/0!</v>
      </c>
      <c r="P141" s="429">
        <v>86.09</v>
      </c>
      <c r="Q141" s="429">
        <f t="shared" ref="Q141:Q148" si="33">P141</f>
        <v>86.09</v>
      </c>
      <c r="T141" s="78">
        <v>85.2346</v>
      </c>
    </row>
    <row r="142" spans="1:20">
      <c r="A142" s="505"/>
      <c r="B142" s="188" t="s">
        <v>636</v>
      </c>
      <c r="C142" s="196">
        <f t="shared" si="30"/>
        <v>0.46255000000000002</v>
      </c>
      <c r="D142" s="190">
        <v>6</v>
      </c>
      <c r="E142" s="190">
        <v>5.5</v>
      </c>
      <c r="F142" s="191">
        <v>200</v>
      </c>
      <c r="G142" s="190" t="s">
        <v>8</v>
      </c>
      <c r="H142" s="190" t="s">
        <v>98</v>
      </c>
      <c r="I142" s="190" t="s">
        <v>351</v>
      </c>
      <c r="J142" s="429">
        <v>92.51</v>
      </c>
      <c r="K142" s="429">
        <f t="shared" si="31"/>
        <v>92.51</v>
      </c>
      <c r="L142" s="544"/>
      <c r="M142" s="416">
        <v>45292</v>
      </c>
      <c r="N142" s="416"/>
      <c r="O142" s="196" t="e">
        <f t="shared" si="32"/>
        <v>#DIV/0!</v>
      </c>
      <c r="P142" s="429">
        <v>90.12</v>
      </c>
      <c r="Q142" s="429">
        <f t="shared" si="33"/>
        <v>90.12</v>
      </c>
      <c r="T142" s="78">
        <v>89.230800000000016</v>
      </c>
    </row>
    <row r="143" spans="1:20">
      <c r="A143" s="505"/>
      <c r="B143" s="188" t="s">
        <v>637</v>
      </c>
      <c r="C143" s="196">
        <f t="shared" si="30"/>
        <v>0.48869999999999997</v>
      </c>
      <c r="D143" s="190">
        <v>6</v>
      </c>
      <c r="E143" s="190">
        <v>5.5</v>
      </c>
      <c r="F143" s="191">
        <v>200</v>
      </c>
      <c r="G143" s="190" t="s">
        <v>8</v>
      </c>
      <c r="H143" s="190" t="s">
        <v>98</v>
      </c>
      <c r="I143" s="190" t="s">
        <v>351</v>
      </c>
      <c r="J143" s="429">
        <v>97.74</v>
      </c>
      <c r="K143" s="429">
        <f t="shared" si="31"/>
        <v>97.74</v>
      </c>
      <c r="L143" s="544"/>
      <c r="M143" s="416">
        <v>45292</v>
      </c>
      <c r="N143" s="416"/>
      <c r="O143" s="196" t="e">
        <f t="shared" si="32"/>
        <v>#DIV/0!</v>
      </c>
      <c r="P143" s="429">
        <v>95.27</v>
      </c>
      <c r="Q143" s="429">
        <f t="shared" si="33"/>
        <v>95.27</v>
      </c>
      <c r="T143" s="78">
        <v>94.329399999999993</v>
      </c>
    </row>
    <row r="144" spans="1:20">
      <c r="A144" s="505"/>
      <c r="B144" s="188" t="s">
        <v>638</v>
      </c>
      <c r="C144" s="196">
        <f t="shared" si="30"/>
        <v>0.51369999999999993</v>
      </c>
      <c r="D144" s="190">
        <v>6</v>
      </c>
      <c r="E144" s="190">
        <v>5.5</v>
      </c>
      <c r="F144" s="191">
        <v>200</v>
      </c>
      <c r="G144" s="190" t="s">
        <v>8</v>
      </c>
      <c r="H144" s="190" t="s">
        <v>98</v>
      </c>
      <c r="I144" s="190" t="s">
        <v>351</v>
      </c>
      <c r="J144" s="429">
        <v>102.74</v>
      </c>
      <c r="K144" s="429">
        <f t="shared" si="31"/>
        <v>102.74</v>
      </c>
      <c r="L144" s="544"/>
      <c r="M144" s="416">
        <v>45292</v>
      </c>
      <c r="N144" s="416"/>
      <c r="O144" s="196" t="e">
        <f t="shared" si="32"/>
        <v>#DIV/0!</v>
      </c>
      <c r="P144" s="429">
        <v>99.95</v>
      </c>
      <c r="Q144" s="429">
        <f t="shared" si="33"/>
        <v>99.95</v>
      </c>
      <c r="T144" s="78">
        <v>98.961600000000004</v>
      </c>
    </row>
    <row r="145" spans="1:20">
      <c r="A145" s="505"/>
      <c r="B145" s="188" t="s">
        <v>639</v>
      </c>
      <c r="C145" s="196">
        <f t="shared" si="30"/>
        <v>0.56509999999999994</v>
      </c>
      <c r="D145" s="190">
        <v>6</v>
      </c>
      <c r="E145" s="190">
        <v>5.5</v>
      </c>
      <c r="F145" s="191">
        <v>100</v>
      </c>
      <c r="G145" s="190" t="s">
        <v>8</v>
      </c>
      <c r="H145" s="190" t="s">
        <v>98</v>
      </c>
      <c r="I145" s="190" t="s">
        <v>351</v>
      </c>
      <c r="J145" s="429">
        <v>56.51</v>
      </c>
      <c r="K145" s="429">
        <f t="shared" si="31"/>
        <v>56.51</v>
      </c>
      <c r="L145" s="544"/>
      <c r="M145" s="416">
        <v>45292</v>
      </c>
      <c r="N145" s="416"/>
      <c r="O145" s="196" t="e">
        <f t="shared" si="32"/>
        <v>#DIV/0!</v>
      </c>
      <c r="P145" s="429">
        <v>55.1</v>
      </c>
      <c r="Q145" s="429">
        <f t="shared" si="33"/>
        <v>55.1</v>
      </c>
      <c r="T145" s="78">
        <v>54.558199999999999</v>
      </c>
    </row>
    <row r="146" spans="1:20">
      <c r="A146" s="505"/>
      <c r="B146" s="188" t="s">
        <v>640</v>
      </c>
      <c r="C146" s="196">
        <f t="shared" si="30"/>
        <v>0.6855</v>
      </c>
      <c r="D146" s="190">
        <v>6</v>
      </c>
      <c r="E146" s="190">
        <v>5.5</v>
      </c>
      <c r="F146" s="191">
        <v>100</v>
      </c>
      <c r="G146" s="190" t="s">
        <v>8</v>
      </c>
      <c r="H146" s="190" t="s">
        <v>98</v>
      </c>
      <c r="I146" s="190" t="s">
        <v>351</v>
      </c>
      <c r="J146" s="429">
        <v>68.55</v>
      </c>
      <c r="K146" s="429">
        <f t="shared" si="31"/>
        <v>68.55</v>
      </c>
      <c r="L146" s="544"/>
      <c r="M146" s="416">
        <v>45292</v>
      </c>
      <c r="N146" s="416"/>
      <c r="O146" s="196" t="e">
        <f t="shared" si="32"/>
        <v>#DIV/0!</v>
      </c>
      <c r="P146" s="429">
        <v>66.900000000000006</v>
      </c>
      <c r="Q146" s="429">
        <f t="shared" si="33"/>
        <v>66.900000000000006</v>
      </c>
      <c r="T146" s="78">
        <v>66.239400000000003</v>
      </c>
    </row>
    <row r="147" spans="1:20">
      <c r="A147" s="505"/>
      <c r="B147" s="188" t="s">
        <v>641</v>
      </c>
      <c r="C147" s="196">
        <f t="shared" si="30"/>
        <v>0.85099999999999998</v>
      </c>
      <c r="D147" s="190">
        <v>6</v>
      </c>
      <c r="E147" s="190">
        <v>5.5</v>
      </c>
      <c r="F147" s="191">
        <v>100</v>
      </c>
      <c r="G147" s="190" t="s">
        <v>8</v>
      </c>
      <c r="H147" s="190" t="s">
        <v>98</v>
      </c>
      <c r="I147" s="190" t="s">
        <v>351</v>
      </c>
      <c r="J147" s="429">
        <v>85.1</v>
      </c>
      <c r="K147" s="429">
        <f t="shared" si="31"/>
        <v>85.1</v>
      </c>
      <c r="L147" s="544"/>
      <c r="M147" s="416">
        <v>45292</v>
      </c>
      <c r="N147" s="416"/>
      <c r="O147" s="196" t="e">
        <f t="shared" si="32"/>
        <v>#DIV/0!</v>
      </c>
      <c r="P147" s="429">
        <v>82.98</v>
      </c>
      <c r="Q147" s="429">
        <f t="shared" si="33"/>
        <v>82.98</v>
      </c>
      <c r="T147" s="78">
        <v>82.160600000000017</v>
      </c>
    </row>
    <row r="148" spans="1:20">
      <c r="A148" s="505"/>
      <c r="B148" s="188" t="s">
        <v>642</v>
      </c>
      <c r="C148" s="196">
        <f t="shared" si="30"/>
        <v>1.0498000000000001</v>
      </c>
      <c r="D148" s="190">
        <v>6</v>
      </c>
      <c r="E148" s="190">
        <v>5.5</v>
      </c>
      <c r="F148" s="191">
        <v>100</v>
      </c>
      <c r="G148" s="190" t="s">
        <v>8</v>
      </c>
      <c r="H148" s="190" t="s">
        <v>98</v>
      </c>
      <c r="I148" s="190" t="s">
        <v>351</v>
      </c>
      <c r="J148" s="429">
        <v>104.98</v>
      </c>
      <c r="K148" s="429">
        <f t="shared" si="31"/>
        <v>104.98</v>
      </c>
      <c r="L148" s="544"/>
      <c r="M148" s="416">
        <v>45292</v>
      </c>
      <c r="N148" s="416"/>
      <c r="O148" s="196" t="e">
        <f t="shared" si="32"/>
        <v>#DIV/0!</v>
      </c>
      <c r="P148" s="429">
        <v>101.94</v>
      </c>
      <c r="Q148" s="429">
        <f t="shared" si="33"/>
        <v>101.94</v>
      </c>
      <c r="T148" s="78">
        <v>100.9332</v>
      </c>
    </row>
    <row r="149" spans="1:20">
      <c r="A149" s="505"/>
      <c r="B149" s="108" t="s">
        <v>98</v>
      </c>
      <c r="C149" s="69"/>
      <c r="D149" s="69"/>
      <c r="E149" s="69"/>
      <c r="F149" s="90"/>
      <c r="G149" s="69"/>
      <c r="H149" s="69"/>
      <c r="I149" s="69"/>
      <c r="J149" s="69"/>
      <c r="K149" s="69"/>
      <c r="O149" s="69"/>
      <c r="P149" s="69"/>
      <c r="Q149" s="69"/>
    </row>
    <row r="150" spans="1:20">
      <c r="A150" s="505"/>
      <c r="B150" s="108" t="s">
        <v>98</v>
      </c>
      <c r="C150" s="114"/>
      <c r="D150" s="69"/>
      <c r="E150" s="69"/>
      <c r="F150" s="112"/>
      <c r="G150" s="111"/>
      <c r="H150" s="69"/>
      <c r="I150" s="111"/>
      <c r="J150" s="113"/>
      <c r="K150" s="113"/>
      <c r="L150" s="547"/>
      <c r="O150" s="114"/>
      <c r="P150" s="113"/>
      <c r="Q150" s="113"/>
    </row>
    <row r="151" spans="1:20">
      <c r="A151" s="505"/>
      <c r="B151" s="149" t="s">
        <v>193</v>
      </c>
      <c r="C151" s="150">
        <f t="shared" ref="C151:C155" si="34">K151/F151</f>
        <v>0.80449999999999999</v>
      </c>
      <c r="D151" s="150">
        <v>1</v>
      </c>
      <c r="E151" s="150">
        <v>1</v>
      </c>
      <c r="F151" s="151">
        <v>100</v>
      </c>
      <c r="G151" s="150" t="s">
        <v>8</v>
      </c>
      <c r="H151" s="150" t="s">
        <v>98</v>
      </c>
      <c r="I151" s="150" t="s">
        <v>351</v>
      </c>
      <c r="J151" s="152">
        <v>80.45</v>
      </c>
      <c r="K151" s="152">
        <v>80.45</v>
      </c>
      <c r="L151" s="548"/>
      <c r="M151" s="75" t="s">
        <v>460</v>
      </c>
      <c r="O151" s="150" t="e">
        <f t="shared" ref="O151:O155" si="35">W151/R151</f>
        <v>#DIV/0!</v>
      </c>
      <c r="P151" s="152">
        <v>80.45</v>
      </c>
      <c r="Q151" s="152">
        <v>80.45</v>
      </c>
    </row>
    <row r="152" spans="1:20">
      <c r="A152" s="505"/>
      <c r="B152" s="149" t="s">
        <v>194</v>
      </c>
      <c r="C152" s="150">
        <f t="shared" si="34"/>
        <v>0.92359999999999998</v>
      </c>
      <c r="D152" s="150">
        <v>1</v>
      </c>
      <c r="E152" s="150">
        <v>1</v>
      </c>
      <c r="F152" s="151">
        <v>100</v>
      </c>
      <c r="G152" s="150" t="s">
        <v>8</v>
      </c>
      <c r="H152" s="150" t="s">
        <v>98</v>
      </c>
      <c r="I152" s="150" t="s">
        <v>351</v>
      </c>
      <c r="J152" s="152">
        <v>92.36</v>
      </c>
      <c r="K152" s="152">
        <v>92.36</v>
      </c>
      <c r="L152" s="548"/>
      <c r="M152" s="75" t="s">
        <v>460</v>
      </c>
      <c r="O152" s="150" t="e">
        <f t="shared" si="35"/>
        <v>#DIV/0!</v>
      </c>
      <c r="P152" s="152">
        <v>92.36</v>
      </c>
      <c r="Q152" s="152">
        <v>92.36</v>
      </c>
    </row>
    <row r="153" spans="1:20">
      <c r="A153" s="505"/>
      <c r="B153" s="149" t="s">
        <v>195</v>
      </c>
      <c r="C153" s="150">
        <f t="shared" si="34"/>
        <v>1.1254999999999999</v>
      </c>
      <c r="D153" s="150">
        <v>1</v>
      </c>
      <c r="E153" s="150">
        <v>1</v>
      </c>
      <c r="F153" s="151">
        <v>100</v>
      </c>
      <c r="G153" s="150" t="s">
        <v>8</v>
      </c>
      <c r="H153" s="150" t="s">
        <v>98</v>
      </c>
      <c r="I153" s="150" t="s">
        <v>351</v>
      </c>
      <c r="J153" s="152">
        <v>112.55</v>
      </c>
      <c r="K153" s="152">
        <v>112.55</v>
      </c>
      <c r="L153" s="548"/>
      <c r="M153" s="75" t="s">
        <v>460</v>
      </c>
      <c r="O153" s="150" t="e">
        <f t="shared" si="35"/>
        <v>#DIV/0!</v>
      </c>
      <c r="P153" s="152">
        <v>112.55</v>
      </c>
      <c r="Q153" s="152">
        <v>112.55</v>
      </c>
    </row>
    <row r="154" spans="1:20">
      <c r="A154" s="505"/>
      <c r="B154" s="149" t="s">
        <v>196</v>
      </c>
      <c r="C154" s="150">
        <f t="shared" si="34"/>
        <v>1.2858000000000001</v>
      </c>
      <c r="D154" s="150">
        <v>1</v>
      </c>
      <c r="E154" s="150">
        <v>1</v>
      </c>
      <c r="F154" s="151">
        <v>100</v>
      </c>
      <c r="G154" s="150" t="s">
        <v>8</v>
      </c>
      <c r="H154" s="150" t="s">
        <v>98</v>
      </c>
      <c r="I154" s="150" t="s">
        <v>351</v>
      </c>
      <c r="J154" s="152">
        <v>128.58000000000001</v>
      </c>
      <c r="K154" s="152">
        <v>128.58000000000001</v>
      </c>
      <c r="L154" s="548"/>
      <c r="M154" s="75" t="s">
        <v>460</v>
      </c>
      <c r="O154" s="150" t="e">
        <f t="shared" si="35"/>
        <v>#DIV/0!</v>
      </c>
      <c r="P154" s="152">
        <v>128.58000000000001</v>
      </c>
      <c r="Q154" s="152">
        <v>128.58000000000001</v>
      </c>
    </row>
    <row r="155" spans="1:20">
      <c r="A155" s="505"/>
      <c r="B155" s="149" t="s">
        <v>197</v>
      </c>
      <c r="C155" s="150">
        <f t="shared" si="34"/>
        <v>1.5549000000000002</v>
      </c>
      <c r="D155" s="150">
        <v>1</v>
      </c>
      <c r="E155" s="150">
        <v>1</v>
      </c>
      <c r="F155" s="151">
        <v>100</v>
      </c>
      <c r="G155" s="150" t="s">
        <v>8</v>
      </c>
      <c r="H155" s="150" t="s">
        <v>98</v>
      </c>
      <c r="I155" s="150" t="s">
        <v>351</v>
      </c>
      <c r="J155" s="152">
        <v>155.49</v>
      </c>
      <c r="K155" s="152">
        <v>155.49</v>
      </c>
      <c r="L155" s="548"/>
      <c r="M155" s="75" t="s">
        <v>460</v>
      </c>
      <c r="O155" s="150" t="e">
        <f t="shared" si="35"/>
        <v>#DIV/0!</v>
      </c>
      <c r="P155" s="152">
        <v>155.49</v>
      </c>
      <c r="Q155" s="152">
        <v>155.49</v>
      </c>
    </row>
    <row r="156" spans="1:20">
      <c r="A156" s="509" t="s">
        <v>292</v>
      </c>
      <c r="B156" s="118" t="s">
        <v>98</v>
      </c>
      <c r="C156" s="115"/>
      <c r="D156" s="116"/>
      <c r="E156" s="116"/>
      <c r="F156" s="117"/>
      <c r="G156" s="116"/>
      <c r="H156" s="116"/>
      <c r="I156" s="116"/>
      <c r="J156" s="115"/>
      <c r="K156" s="115"/>
      <c r="L156" s="547"/>
      <c r="O156" s="115"/>
      <c r="P156" s="115"/>
      <c r="Q156" s="115"/>
    </row>
    <row r="157" spans="1:20" ht="16.5">
      <c r="A157" s="509"/>
      <c r="B157" s="197" t="s">
        <v>952</v>
      </c>
      <c r="C157" s="198">
        <f>K157/F157</f>
        <v>2.8310909090909093</v>
      </c>
      <c r="D157" s="199">
        <v>1.1000000000000001</v>
      </c>
      <c r="E157" s="199"/>
      <c r="F157" s="200">
        <v>55</v>
      </c>
      <c r="G157" s="199" t="s">
        <v>646</v>
      </c>
      <c r="H157" s="199">
        <v>20</v>
      </c>
      <c r="I157" s="199" t="s">
        <v>352</v>
      </c>
      <c r="J157" s="430">
        <v>155.71</v>
      </c>
      <c r="K157" s="430">
        <f>J157</f>
        <v>155.71</v>
      </c>
      <c r="L157" s="544"/>
      <c r="M157" s="416">
        <v>45292</v>
      </c>
      <c r="N157" s="416"/>
      <c r="O157" s="198" t="e">
        <f>W157/R157</f>
        <v>#DIV/0!</v>
      </c>
      <c r="P157" s="430">
        <v>151.68</v>
      </c>
      <c r="Q157" s="430">
        <f>P157</f>
        <v>151.68</v>
      </c>
      <c r="T157" s="78">
        <v>150.16999999999999</v>
      </c>
    </row>
    <row r="158" spans="1:20" ht="16.5">
      <c r="A158" s="509"/>
      <c r="B158" s="197" t="s">
        <v>643</v>
      </c>
      <c r="C158" s="198">
        <f>K158/F158</f>
        <v>2.4352727272727273</v>
      </c>
      <c r="D158" s="199">
        <v>1.1000000000000001</v>
      </c>
      <c r="E158" s="199"/>
      <c r="F158" s="200">
        <v>55</v>
      </c>
      <c r="G158" s="199" t="s">
        <v>646</v>
      </c>
      <c r="H158" s="199">
        <v>33</v>
      </c>
      <c r="I158" s="199" t="s">
        <v>352</v>
      </c>
      <c r="J158" s="430">
        <v>133.94</v>
      </c>
      <c r="K158" s="430">
        <f t="shared" ref="K158:K163" si="36">J158</f>
        <v>133.94</v>
      </c>
      <c r="L158" s="544"/>
      <c r="M158" s="416">
        <v>45292</v>
      </c>
      <c r="N158" s="416"/>
      <c r="O158" s="198" t="e">
        <f>W158/R158</f>
        <v>#DIV/0!</v>
      </c>
      <c r="P158" s="430">
        <v>130.22</v>
      </c>
      <c r="Q158" s="430">
        <f t="shared" ref="Q158:Q159" si="37">P158</f>
        <v>130.22</v>
      </c>
      <c r="T158" s="78">
        <v>128.93</v>
      </c>
    </row>
    <row r="159" spans="1:20" ht="16.5">
      <c r="A159" s="509"/>
      <c r="B159" s="197" t="s">
        <v>953</v>
      </c>
      <c r="C159" s="198">
        <f>K159/F159</f>
        <v>6.4463999999999997</v>
      </c>
      <c r="D159" s="199">
        <v>1.1000000000000001</v>
      </c>
      <c r="E159" s="199"/>
      <c r="F159" s="200">
        <v>25</v>
      </c>
      <c r="G159" s="199" t="s">
        <v>646</v>
      </c>
      <c r="H159" s="199">
        <v>30</v>
      </c>
      <c r="I159" s="199" t="s">
        <v>352</v>
      </c>
      <c r="J159" s="430">
        <v>161.16</v>
      </c>
      <c r="K159" s="430">
        <f t="shared" si="36"/>
        <v>161.16</v>
      </c>
      <c r="L159" s="544"/>
      <c r="M159" s="416">
        <v>45292</v>
      </c>
      <c r="N159" s="416"/>
      <c r="O159" s="198" t="e">
        <f>W159/R159</f>
        <v>#DIV/0!</v>
      </c>
      <c r="P159" s="430">
        <v>157.09</v>
      </c>
      <c r="Q159" s="430">
        <f t="shared" si="37"/>
        <v>157.09</v>
      </c>
      <c r="T159" s="78">
        <v>155.53</v>
      </c>
    </row>
    <row r="160" spans="1:20">
      <c r="A160" s="509"/>
      <c r="B160" s="197" t="s">
        <v>98</v>
      </c>
      <c r="C160" s="198"/>
      <c r="D160" s="199"/>
      <c r="E160" s="199"/>
      <c r="F160" s="200"/>
      <c r="G160" s="199"/>
      <c r="H160" s="199"/>
      <c r="I160" s="199"/>
      <c r="J160" s="201"/>
      <c r="K160" s="201"/>
      <c r="L160" s="543"/>
      <c r="M160" s="160"/>
      <c r="N160" s="160"/>
      <c r="O160" s="198"/>
      <c r="P160" s="201"/>
      <c r="Q160" s="201"/>
    </row>
    <row r="161" spans="1:21" ht="16.5">
      <c r="A161" s="509"/>
      <c r="B161" s="197" t="s">
        <v>644</v>
      </c>
      <c r="C161" s="198">
        <f>K161/F161</f>
        <v>2.4352727272727273</v>
      </c>
      <c r="D161" s="199">
        <v>2.2000000000000002</v>
      </c>
      <c r="E161" s="199"/>
      <c r="F161" s="200">
        <v>55</v>
      </c>
      <c r="G161" s="199" t="s">
        <v>646</v>
      </c>
      <c r="H161" s="199">
        <v>33</v>
      </c>
      <c r="I161" s="199" t="s">
        <v>352</v>
      </c>
      <c r="J161" s="430">
        <f>J158</f>
        <v>133.94</v>
      </c>
      <c r="K161" s="430">
        <f t="shared" si="36"/>
        <v>133.94</v>
      </c>
      <c r="L161" s="544"/>
      <c r="M161" s="416">
        <v>45292</v>
      </c>
      <c r="N161" s="416"/>
      <c r="O161" s="198" t="e">
        <f>W161/R161</f>
        <v>#DIV/0!</v>
      </c>
      <c r="P161" s="430">
        <f>P158</f>
        <v>130.22</v>
      </c>
      <c r="Q161" s="430">
        <f t="shared" ref="Q161" si="38">P161</f>
        <v>130.22</v>
      </c>
      <c r="T161" s="78">
        <v>128.93</v>
      </c>
    </row>
    <row r="162" spans="1:21">
      <c r="A162" s="509"/>
      <c r="B162" s="197" t="s">
        <v>98</v>
      </c>
      <c r="C162" s="198"/>
      <c r="D162" s="199"/>
      <c r="E162" s="199"/>
      <c r="F162" s="200"/>
      <c r="G162" s="199"/>
      <c r="H162" s="199"/>
      <c r="I162" s="199"/>
      <c r="J162" s="201"/>
      <c r="K162" s="201"/>
      <c r="L162" s="543"/>
      <c r="M162" s="202"/>
      <c r="N162" s="202"/>
      <c r="O162" s="198"/>
      <c r="P162" s="201"/>
      <c r="Q162" s="201"/>
    </row>
    <row r="163" spans="1:21" ht="16.5">
      <c r="A163" s="509"/>
      <c r="B163" s="197" t="s">
        <v>645</v>
      </c>
      <c r="C163" s="198">
        <f>K163/F163</f>
        <v>6.2504</v>
      </c>
      <c r="D163" s="199">
        <v>1</v>
      </c>
      <c r="E163" s="199"/>
      <c r="F163" s="200">
        <v>50</v>
      </c>
      <c r="G163" s="199" t="s">
        <v>646</v>
      </c>
      <c r="H163" s="199">
        <v>90</v>
      </c>
      <c r="I163" s="199" t="s">
        <v>352</v>
      </c>
      <c r="J163" s="430">
        <v>312.52</v>
      </c>
      <c r="K163" s="430">
        <f t="shared" si="36"/>
        <v>312.52</v>
      </c>
      <c r="L163" s="544"/>
      <c r="M163" s="416">
        <v>45292</v>
      </c>
      <c r="N163" s="416"/>
      <c r="O163" s="198" t="e">
        <f>W163/R163</f>
        <v>#DIV/0!</v>
      </c>
      <c r="P163" s="430">
        <v>304.41000000000003</v>
      </c>
      <c r="Q163" s="430">
        <f t="shared" ref="Q163" si="39">P163</f>
        <v>304.41000000000003</v>
      </c>
      <c r="T163" s="78">
        <v>301.39999999999998</v>
      </c>
    </row>
    <row r="164" spans="1:21">
      <c r="A164" s="77"/>
      <c r="B164" s="104"/>
      <c r="C164" s="78"/>
      <c r="D164" s="78"/>
      <c r="E164" s="78"/>
      <c r="F164" s="87"/>
      <c r="G164" s="78"/>
      <c r="J164" s="78"/>
      <c r="K164" s="78"/>
      <c r="M164"/>
      <c r="N164"/>
      <c r="O164" s="78"/>
      <c r="P164" s="78"/>
      <c r="Q164" s="78"/>
    </row>
    <row r="165" spans="1:21">
      <c r="A165" s="506" t="s">
        <v>162</v>
      </c>
      <c r="B165" s="431" t="s">
        <v>954</v>
      </c>
      <c r="C165" s="170">
        <f>K165/F165</f>
        <v>10.237857142857143</v>
      </c>
      <c r="D165" s="170">
        <v>0.3</v>
      </c>
      <c r="E165" s="171"/>
      <c r="F165" s="172">
        <v>14</v>
      </c>
      <c r="G165" s="171" t="s">
        <v>13</v>
      </c>
      <c r="H165" s="171">
        <v>336</v>
      </c>
      <c r="I165" s="171" t="s">
        <v>353</v>
      </c>
      <c r="J165" s="432">
        <v>144.69999999999999</v>
      </c>
      <c r="K165" s="432">
        <v>143.33000000000001</v>
      </c>
      <c r="L165" s="544"/>
      <c r="M165" s="416">
        <v>45292</v>
      </c>
      <c r="N165" s="416"/>
      <c r="O165" s="170" t="e">
        <f>W165/R165</f>
        <v>#DIV/0!</v>
      </c>
      <c r="P165" s="432">
        <v>141.03</v>
      </c>
      <c r="Q165" s="432">
        <v>139.59</v>
      </c>
      <c r="R165" s="144"/>
      <c r="S165" s="136"/>
      <c r="T165" s="78">
        <v>136.66</v>
      </c>
      <c r="U165" s="78">
        <v>135.26</v>
      </c>
    </row>
    <row r="166" spans="1:21">
      <c r="A166" s="506"/>
      <c r="B166" s="431" t="s">
        <v>955</v>
      </c>
      <c r="C166" s="170">
        <f>K166/F166</f>
        <v>10.843571428571428</v>
      </c>
      <c r="D166" s="170">
        <v>0.3</v>
      </c>
      <c r="E166" s="171"/>
      <c r="F166" s="172">
        <v>14</v>
      </c>
      <c r="G166" s="171" t="s">
        <v>13</v>
      </c>
      <c r="H166" s="171">
        <v>336</v>
      </c>
      <c r="I166" s="171" t="s">
        <v>353</v>
      </c>
      <c r="J166" s="432">
        <v>153.38</v>
      </c>
      <c r="K166" s="432">
        <v>151.81</v>
      </c>
      <c r="L166" s="544"/>
      <c r="M166" s="416">
        <v>45292</v>
      </c>
      <c r="N166" s="416"/>
      <c r="O166" s="170" t="e">
        <f>W166/R166</f>
        <v>#DIV/0!</v>
      </c>
      <c r="P166" s="432">
        <v>149.5</v>
      </c>
      <c r="Q166" s="432">
        <v>147.96</v>
      </c>
      <c r="R166" s="144"/>
      <c r="S166" s="136"/>
      <c r="T166" s="78">
        <v>144.55000000000001</v>
      </c>
      <c r="U166" s="78">
        <v>143.15</v>
      </c>
    </row>
    <row r="167" spans="1:21">
      <c r="A167" s="506"/>
      <c r="B167" s="433" t="s">
        <v>93</v>
      </c>
      <c r="C167" s="434">
        <v>0</v>
      </c>
      <c r="D167" s="434">
        <v>0</v>
      </c>
      <c r="E167" s="435"/>
      <c r="F167" s="436"/>
      <c r="G167" s="435" t="s">
        <v>98</v>
      </c>
      <c r="H167" s="435" t="s">
        <v>98</v>
      </c>
      <c r="I167" s="435" t="s">
        <v>98</v>
      </c>
      <c r="J167" s="435"/>
      <c r="K167" s="435"/>
      <c r="L167" s="542"/>
      <c r="O167" s="434">
        <v>0</v>
      </c>
      <c r="P167" s="435"/>
      <c r="Q167" s="435"/>
      <c r="R167" s="137"/>
      <c r="S167" s="137"/>
    </row>
    <row r="168" spans="1:21">
      <c r="A168" s="506"/>
      <c r="B168" s="431" t="s">
        <v>959</v>
      </c>
      <c r="C168" s="170">
        <f>J168/F168</f>
        <v>12.461</v>
      </c>
      <c r="D168" s="170">
        <v>0.2</v>
      </c>
      <c r="E168" s="171"/>
      <c r="F168" s="172">
        <v>20</v>
      </c>
      <c r="G168" s="171" t="s">
        <v>5</v>
      </c>
      <c r="H168" s="171">
        <v>720</v>
      </c>
      <c r="I168" s="171" t="s">
        <v>960</v>
      </c>
      <c r="J168" s="432">
        <v>249.22</v>
      </c>
      <c r="K168" s="432" t="s">
        <v>1011</v>
      </c>
      <c r="L168" s="544"/>
      <c r="M168" s="416">
        <v>45292</v>
      </c>
      <c r="N168" s="416"/>
      <c r="O168" s="170" t="e">
        <f>W168/R168</f>
        <v>#DIV/0!</v>
      </c>
      <c r="P168" s="432">
        <v>242.91</v>
      </c>
      <c r="Q168" s="432">
        <v>234.83</v>
      </c>
      <c r="R168" s="136"/>
      <c r="S168" s="136"/>
      <c r="T168" s="78">
        <v>240.63</v>
      </c>
      <c r="U168" s="78">
        <v>232.62</v>
      </c>
    </row>
    <row r="169" spans="1:21">
      <c r="A169" s="506"/>
      <c r="B169" s="431" t="s">
        <v>961</v>
      </c>
      <c r="C169" s="170">
        <f>K169/F169</f>
        <v>13.956</v>
      </c>
      <c r="D169" s="170">
        <v>0.2</v>
      </c>
      <c r="E169" s="171"/>
      <c r="F169" s="172">
        <v>5</v>
      </c>
      <c r="G169" s="171" t="s">
        <v>5</v>
      </c>
      <c r="H169" s="171">
        <v>450</v>
      </c>
      <c r="I169" s="171" t="s">
        <v>960</v>
      </c>
      <c r="J169" s="432">
        <v>72.19</v>
      </c>
      <c r="K169" s="432">
        <v>69.78</v>
      </c>
      <c r="L169" s="544"/>
      <c r="M169" s="416">
        <v>45292</v>
      </c>
      <c r="N169" s="416"/>
      <c r="O169" s="170" t="e">
        <f>W169/R169</f>
        <v>#DIV/0!</v>
      </c>
      <c r="P169" s="432">
        <v>70.36</v>
      </c>
      <c r="Q169" s="432">
        <v>68.010000000000005</v>
      </c>
      <c r="R169" s="136"/>
      <c r="S169" s="136"/>
    </row>
    <row r="170" spans="1:21">
      <c r="A170" s="77"/>
      <c r="B170" s="104"/>
      <c r="C170" s="78"/>
      <c r="D170" s="78"/>
      <c r="E170" s="78"/>
      <c r="F170" s="87"/>
      <c r="G170" s="78"/>
      <c r="J170" s="78"/>
      <c r="K170" s="78"/>
      <c r="O170" s="78"/>
      <c r="P170" s="78"/>
      <c r="Q170" s="78"/>
    </row>
    <row r="171" spans="1:21">
      <c r="A171" s="507" t="s">
        <v>962</v>
      </c>
      <c r="B171" s="165" t="s">
        <v>524</v>
      </c>
      <c r="C171" s="166">
        <f>K171/F171</f>
        <v>5.7504</v>
      </c>
      <c r="D171" s="166">
        <v>3.5</v>
      </c>
      <c r="E171" s="167"/>
      <c r="F171" s="168">
        <v>25</v>
      </c>
      <c r="G171" s="167" t="s">
        <v>5</v>
      </c>
      <c r="H171" s="167">
        <v>600</v>
      </c>
      <c r="I171" s="167" t="s">
        <v>353</v>
      </c>
      <c r="J171" s="437">
        <v>145.1</v>
      </c>
      <c r="K171" s="437">
        <v>143.76</v>
      </c>
      <c r="L171" s="544"/>
      <c r="M171" s="416">
        <v>45292</v>
      </c>
      <c r="N171" s="416"/>
      <c r="O171" s="166" t="e">
        <f>W171/R171</f>
        <v>#DIV/0!</v>
      </c>
      <c r="P171" s="437">
        <v>141.43</v>
      </c>
      <c r="Q171" s="437">
        <v>140.11000000000001</v>
      </c>
      <c r="R171" s="144"/>
      <c r="T171" s="78">
        <v>137.04</v>
      </c>
      <c r="U171" s="78">
        <v>135.77000000000001</v>
      </c>
    </row>
    <row r="172" spans="1:21">
      <c r="A172" s="507"/>
      <c r="B172" s="165" t="s">
        <v>525</v>
      </c>
      <c r="C172" s="166">
        <f>K172/F172</f>
        <v>6.0952000000000002</v>
      </c>
      <c r="D172" s="166">
        <v>3.5</v>
      </c>
      <c r="E172" s="167"/>
      <c r="F172" s="168">
        <v>25</v>
      </c>
      <c r="G172" s="167" t="s">
        <v>5</v>
      </c>
      <c r="H172" s="167">
        <v>600</v>
      </c>
      <c r="I172" s="167" t="s">
        <v>353</v>
      </c>
      <c r="J172" s="437">
        <v>153.81</v>
      </c>
      <c r="K172" s="437">
        <v>152.38</v>
      </c>
      <c r="L172" s="544"/>
      <c r="M172" s="416">
        <v>45292</v>
      </c>
      <c r="N172" s="416"/>
      <c r="O172" s="166" t="e">
        <f>W172/R172</f>
        <v>#DIV/0!</v>
      </c>
      <c r="P172" s="437">
        <v>149.91</v>
      </c>
      <c r="Q172" s="437">
        <v>148.52000000000001</v>
      </c>
      <c r="R172" s="144"/>
      <c r="T172" s="78">
        <v>142.26</v>
      </c>
      <c r="U172" s="78">
        <v>140.86000000000001</v>
      </c>
    </row>
    <row r="173" spans="1:21">
      <c r="A173" s="507"/>
      <c r="B173" s="165" t="s">
        <v>526</v>
      </c>
      <c r="C173" s="166">
        <f>K173/F173</f>
        <v>5.556</v>
      </c>
      <c r="D173" s="166">
        <v>2.7</v>
      </c>
      <c r="E173" s="167"/>
      <c r="F173" s="168">
        <v>25</v>
      </c>
      <c r="G173" s="167" t="s">
        <v>5</v>
      </c>
      <c r="H173" s="167">
        <v>600</v>
      </c>
      <c r="I173" s="167" t="s">
        <v>353</v>
      </c>
      <c r="J173" s="437">
        <v>140.38</v>
      </c>
      <c r="K173" s="437">
        <v>138.9</v>
      </c>
      <c r="L173" s="544"/>
      <c r="M173" s="416">
        <v>45292</v>
      </c>
      <c r="N173" s="416"/>
      <c r="O173" s="166" t="e">
        <f>W173/R173</f>
        <v>#DIV/0!</v>
      </c>
      <c r="P173" s="437">
        <v>136.82</v>
      </c>
      <c r="Q173" s="437">
        <v>135.38</v>
      </c>
      <c r="R173" s="144"/>
      <c r="T173" s="78">
        <v>132.58000000000001</v>
      </c>
      <c r="U173" s="78">
        <v>131.18</v>
      </c>
    </row>
    <row r="174" spans="1:21">
      <c r="A174" s="507"/>
      <c r="B174" s="165" t="s">
        <v>527</v>
      </c>
      <c r="C174" s="166">
        <f>K174/F174</f>
        <v>5.8891999999999998</v>
      </c>
      <c r="D174" s="166">
        <v>2.7</v>
      </c>
      <c r="E174" s="167"/>
      <c r="F174" s="168">
        <v>25</v>
      </c>
      <c r="G174" s="167" t="s">
        <v>5</v>
      </c>
      <c r="H174" s="167">
        <v>600</v>
      </c>
      <c r="I174" s="167" t="s">
        <v>353</v>
      </c>
      <c r="J174" s="437">
        <v>148.80000000000001</v>
      </c>
      <c r="K174" s="437">
        <v>147.22999999999999</v>
      </c>
      <c r="L174" s="544"/>
      <c r="M174" s="416">
        <v>45292</v>
      </c>
      <c r="N174" s="416"/>
      <c r="O174" s="166" t="e">
        <f>W174/R174</f>
        <v>#DIV/0!</v>
      </c>
      <c r="P174" s="437">
        <v>145.03</v>
      </c>
      <c r="Q174" s="437">
        <v>143.5</v>
      </c>
      <c r="R174" s="144"/>
      <c r="T174" s="78">
        <v>137.04</v>
      </c>
      <c r="U174" s="78">
        <v>135.77000000000001</v>
      </c>
    </row>
    <row r="175" spans="1:21">
      <c r="A175" s="507"/>
      <c r="B175" s="438" t="s">
        <v>98</v>
      </c>
      <c r="C175" s="122"/>
      <c r="D175" s="122"/>
      <c r="E175" s="123"/>
      <c r="F175" s="124"/>
      <c r="G175" s="123"/>
      <c r="H175" s="123"/>
      <c r="I175" s="123"/>
      <c r="J175" s="439"/>
      <c r="K175" s="439"/>
      <c r="L175" s="549"/>
      <c r="O175" s="122"/>
      <c r="P175" s="439"/>
      <c r="Q175" s="439"/>
      <c r="R175" s="440"/>
    </row>
    <row r="176" spans="1:21">
      <c r="A176" s="507"/>
      <c r="B176" s="165" t="s">
        <v>518</v>
      </c>
      <c r="C176" s="166">
        <f t="shared" ref="C176:C179" si="40">K176/F176</f>
        <v>5.9875999999999996</v>
      </c>
      <c r="D176" s="166">
        <v>1.8</v>
      </c>
      <c r="E176" s="167"/>
      <c r="F176" s="168">
        <v>25</v>
      </c>
      <c r="G176" s="167" t="s">
        <v>5</v>
      </c>
      <c r="H176" s="167">
        <v>600</v>
      </c>
      <c r="I176" s="167" t="s">
        <v>353</v>
      </c>
      <c r="J176" s="437">
        <v>151.18</v>
      </c>
      <c r="K176" s="437">
        <v>149.69</v>
      </c>
      <c r="L176" s="544"/>
      <c r="M176" s="416">
        <v>45292</v>
      </c>
      <c r="N176" s="416"/>
      <c r="O176" s="166" t="e">
        <f t="shared" ref="O176:O179" si="41">W176/R176</f>
        <v>#DIV/0!</v>
      </c>
      <c r="P176" s="437">
        <v>147.35</v>
      </c>
      <c r="Q176" s="437">
        <v>145.88999999999999</v>
      </c>
      <c r="R176" s="144"/>
      <c r="T176" s="78">
        <v>142.78</v>
      </c>
      <c r="U176" s="78">
        <v>141.37</v>
      </c>
    </row>
    <row r="177" spans="1:21">
      <c r="A177" s="507"/>
      <c r="B177" s="165" t="s">
        <v>519</v>
      </c>
      <c r="C177" s="166">
        <f t="shared" si="40"/>
        <v>6.3467999999999991</v>
      </c>
      <c r="D177" s="166">
        <v>1.8</v>
      </c>
      <c r="E177" s="167"/>
      <c r="F177" s="168">
        <v>25</v>
      </c>
      <c r="G177" s="167" t="s">
        <v>5</v>
      </c>
      <c r="H177" s="167">
        <v>600</v>
      </c>
      <c r="I177" s="167" t="s">
        <v>353</v>
      </c>
      <c r="J177" s="437">
        <v>160.25</v>
      </c>
      <c r="K177" s="437">
        <v>158.66999999999999</v>
      </c>
      <c r="L177" s="544"/>
      <c r="M177" s="416">
        <v>45292</v>
      </c>
      <c r="N177" s="416"/>
      <c r="O177" s="166" t="e">
        <f t="shared" si="41"/>
        <v>#DIV/0!</v>
      </c>
      <c r="P177" s="437">
        <v>156.19</v>
      </c>
      <c r="Q177" s="437">
        <v>154.65</v>
      </c>
      <c r="R177" s="144"/>
      <c r="T177" s="78">
        <v>148.25</v>
      </c>
      <c r="U177" s="78">
        <v>146.72</v>
      </c>
    </row>
    <row r="178" spans="1:21">
      <c r="A178" s="507"/>
      <c r="B178" s="165" t="s">
        <v>520</v>
      </c>
      <c r="C178" s="166">
        <f t="shared" si="40"/>
        <v>6.2412000000000001</v>
      </c>
      <c r="D178" s="166">
        <v>1.5</v>
      </c>
      <c r="E178" s="167"/>
      <c r="F178" s="168">
        <v>25</v>
      </c>
      <c r="G178" s="167" t="s">
        <v>5</v>
      </c>
      <c r="H178" s="167">
        <v>600</v>
      </c>
      <c r="I178" s="167" t="s">
        <v>353</v>
      </c>
      <c r="J178" s="437">
        <v>157.63999999999999</v>
      </c>
      <c r="K178" s="437">
        <v>156.03</v>
      </c>
      <c r="L178" s="544"/>
      <c r="M178" s="416">
        <v>45292</v>
      </c>
      <c r="N178" s="416"/>
      <c r="O178" s="166" t="e">
        <f t="shared" si="41"/>
        <v>#DIV/0!</v>
      </c>
      <c r="P178" s="437">
        <v>153.63999999999999</v>
      </c>
      <c r="Q178" s="437">
        <v>152.08000000000001</v>
      </c>
      <c r="R178" s="144"/>
      <c r="T178" s="78">
        <v>148.88</v>
      </c>
      <c r="U178" s="78">
        <v>147.36000000000001</v>
      </c>
    </row>
    <row r="179" spans="1:21">
      <c r="A179" s="507"/>
      <c r="B179" s="165" t="s">
        <v>521</v>
      </c>
      <c r="C179" s="166">
        <f t="shared" si="40"/>
        <v>6.6155999999999997</v>
      </c>
      <c r="D179" s="166">
        <v>1.5</v>
      </c>
      <c r="E179" s="167"/>
      <c r="F179" s="168">
        <v>25</v>
      </c>
      <c r="G179" s="167" t="s">
        <v>5</v>
      </c>
      <c r="H179" s="167">
        <v>600</v>
      </c>
      <c r="I179" s="167" t="s">
        <v>353</v>
      </c>
      <c r="J179" s="437">
        <v>167.1</v>
      </c>
      <c r="K179" s="437">
        <v>165.39</v>
      </c>
      <c r="L179" s="544"/>
      <c r="M179" s="416">
        <v>45292</v>
      </c>
      <c r="N179" s="416"/>
      <c r="O179" s="166" t="e">
        <f t="shared" si="41"/>
        <v>#DIV/0!</v>
      </c>
      <c r="P179" s="437">
        <v>162.86000000000001</v>
      </c>
      <c r="Q179" s="437">
        <v>161.19999999999999</v>
      </c>
      <c r="R179" s="144"/>
      <c r="T179" s="78">
        <v>154.36000000000001</v>
      </c>
      <c r="U179" s="78">
        <v>152.83000000000001</v>
      </c>
    </row>
    <row r="180" spans="1:21">
      <c r="A180" s="507"/>
      <c r="B180" s="438" t="s">
        <v>98</v>
      </c>
      <c r="C180" s="441"/>
      <c r="D180" s="441"/>
      <c r="E180" s="441"/>
      <c r="F180" s="442"/>
      <c r="G180" s="441"/>
      <c r="H180" s="441"/>
      <c r="I180" s="441"/>
      <c r="J180" s="441"/>
      <c r="K180" s="441"/>
      <c r="O180" s="441"/>
      <c r="P180" s="441"/>
      <c r="Q180" s="441"/>
      <c r="R180" s="78"/>
    </row>
    <row r="181" spans="1:21">
      <c r="A181" s="507"/>
      <c r="B181" s="165" t="s">
        <v>963</v>
      </c>
      <c r="C181" s="166">
        <f>K181/F181</f>
        <v>7.8108000000000004</v>
      </c>
      <c r="D181" s="166">
        <v>1.8</v>
      </c>
      <c r="E181" s="167"/>
      <c r="F181" s="168">
        <v>25</v>
      </c>
      <c r="G181" s="167" t="s">
        <v>5</v>
      </c>
      <c r="H181" s="167">
        <v>600</v>
      </c>
      <c r="I181" s="167" t="s">
        <v>353</v>
      </c>
      <c r="J181" s="437">
        <v>197.1</v>
      </c>
      <c r="K181" s="437">
        <v>195.27</v>
      </c>
      <c r="L181" s="544"/>
      <c r="M181" s="416">
        <v>45292</v>
      </c>
      <c r="N181" s="416"/>
      <c r="O181" s="166" t="e">
        <f>W181/R181</f>
        <v>#DIV/0!</v>
      </c>
      <c r="P181" s="437">
        <v>192.11</v>
      </c>
      <c r="Q181" s="437">
        <v>190.32</v>
      </c>
      <c r="R181" s="144"/>
      <c r="T181" s="78">
        <v>186.15</v>
      </c>
      <c r="U181" s="78">
        <v>184.42</v>
      </c>
    </row>
    <row r="182" spans="1:21">
      <c r="A182" s="507"/>
      <c r="B182" s="165" t="s">
        <v>964</v>
      </c>
      <c r="C182" s="166">
        <f>K182/F182</f>
        <v>7.9615999999999998</v>
      </c>
      <c r="D182" s="166">
        <v>1.8</v>
      </c>
      <c r="E182" s="167"/>
      <c r="F182" s="168">
        <v>25</v>
      </c>
      <c r="G182" s="167" t="s">
        <v>5</v>
      </c>
      <c r="H182" s="167">
        <v>600</v>
      </c>
      <c r="I182" s="167" t="s">
        <v>353</v>
      </c>
      <c r="J182" s="437">
        <v>200.93</v>
      </c>
      <c r="K182" s="437">
        <v>199.04</v>
      </c>
      <c r="L182" s="544"/>
      <c r="M182" s="416">
        <v>45292</v>
      </c>
      <c r="N182" s="416"/>
      <c r="O182" s="166" t="e">
        <f>W182/R182</f>
        <v>#DIV/0!</v>
      </c>
      <c r="P182" s="437">
        <v>195.84</v>
      </c>
      <c r="Q182" s="437">
        <v>194</v>
      </c>
      <c r="R182" s="144"/>
      <c r="T182" s="78">
        <v>189.77</v>
      </c>
      <c r="U182" s="78">
        <v>187.98</v>
      </c>
    </row>
    <row r="183" spans="1:21">
      <c r="A183" s="507"/>
      <c r="B183" s="438" t="s">
        <v>98</v>
      </c>
      <c r="C183" s="441"/>
      <c r="D183" s="441"/>
      <c r="E183" s="441"/>
      <c r="F183" s="442"/>
      <c r="G183" s="441"/>
      <c r="H183" s="441"/>
      <c r="I183" s="441"/>
      <c r="J183" s="441"/>
      <c r="K183" s="441"/>
      <c r="O183" s="441"/>
      <c r="P183" s="441"/>
      <c r="Q183" s="441"/>
      <c r="R183" s="78"/>
    </row>
    <row r="184" spans="1:21">
      <c r="A184" s="507"/>
      <c r="B184" s="165" t="s">
        <v>528</v>
      </c>
      <c r="C184" s="166">
        <f>K184/F184</f>
        <v>4.7843999999999998</v>
      </c>
      <c r="D184" s="166">
        <f>1.4*3</f>
        <v>4.1999999999999993</v>
      </c>
      <c r="E184" s="167"/>
      <c r="F184" s="168">
        <v>25</v>
      </c>
      <c r="G184" s="167" t="s">
        <v>5</v>
      </c>
      <c r="H184" s="167">
        <v>1050</v>
      </c>
      <c r="I184" s="167" t="s">
        <v>346</v>
      </c>
      <c r="J184" s="437">
        <v>129.16999999999999</v>
      </c>
      <c r="K184" s="437">
        <v>119.61</v>
      </c>
      <c r="L184" s="544"/>
      <c r="M184" s="416">
        <v>45292</v>
      </c>
      <c r="N184" s="416"/>
      <c r="O184" s="166" t="e">
        <f>W184/R184</f>
        <v>#DIV/0!</v>
      </c>
      <c r="P184" s="437">
        <v>125.9</v>
      </c>
      <c r="Q184" s="437">
        <v>116.58</v>
      </c>
      <c r="R184" s="136"/>
      <c r="T184" s="78">
        <v>120.43</v>
      </c>
      <c r="U184" s="78">
        <v>113.18</v>
      </c>
    </row>
    <row r="185" spans="1:21">
      <c r="A185" s="507"/>
      <c r="B185" s="165" t="s">
        <v>965</v>
      </c>
      <c r="C185" s="166">
        <f>K185/F185</f>
        <v>42.064999999999998</v>
      </c>
      <c r="D185" s="166">
        <v>0.1</v>
      </c>
      <c r="E185" s="167"/>
      <c r="F185" s="168">
        <v>4</v>
      </c>
      <c r="G185" s="167" t="s">
        <v>13</v>
      </c>
      <c r="H185" s="167" t="s">
        <v>98</v>
      </c>
      <c r="I185" s="167" t="s">
        <v>960</v>
      </c>
      <c r="J185" s="437">
        <v>175.02</v>
      </c>
      <c r="K185" s="437">
        <v>168.26</v>
      </c>
      <c r="L185" s="544"/>
      <c r="M185" s="416">
        <v>45292</v>
      </c>
      <c r="N185" s="416"/>
      <c r="O185" s="166" t="e">
        <f>W185/R185</f>
        <v>#DIV/0!</v>
      </c>
      <c r="P185" s="437">
        <v>170.59</v>
      </c>
      <c r="Q185" s="437">
        <v>164</v>
      </c>
      <c r="R185" s="136"/>
      <c r="T185" s="78">
        <v>165.62</v>
      </c>
      <c r="U185" s="78">
        <v>159.22</v>
      </c>
    </row>
    <row r="186" spans="1:21">
      <c r="A186" s="507"/>
      <c r="B186" s="438" t="s">
        <v>98</v>
      </c>
      <c r="C186" s="441"/>
      <c r="D186" s="441"/>
      <c r="E186" s="441"/>
      <c r="F186" s="442"/>
      <c r="G186" s="441"/>
      <c r="H186" s="441"/>
      <c r="I186" s="441"/>
      <c r="J186" s="441"/>
      <c r="K186" s="441"/>
      <c r="O186" s="441"/>
      <c r="P186" s="441"/>
      <c r="Q186" s="441"/>
      <c r="R186" s="78"/>
    </row>
    <row r="187" spans="1:21">
      <c r="A187" s="507"/>
      <c r="B187" s="165" t="s">
        <v>966</v>
      </c>
      <c r="C187" s="166">
        <f>K187/F187</f>
        <v>1.3588</v>
      </c>
      <c r="D187" s="166">
        <f>1.6*2.5</f>
        <v>4</v>
      </c>
      <c r="E187" s="167"/>
      <c r="F187" s="168">
        <v>25</v>
      </c>
      <c r="G187" s="167" t="s">
        <v>5</v>
      </c>
      <c r="H187" s="167">
        <v>1200</v>
      </c>
      <c r="I187" s="167" t="s">
        <v>346</v>
      </c>
      <c r="J187" s="437">
        <v>36.33</v>
      </c>
      <c r="K187" s="443">
        <v>33.97</v>
      </c>
      <c r="L187" s="550"/>
      <c r="M187" s="416">
        <v>45292</v>
      </c>
      <c r="N187" s="416"/>
      <c r="O187" s="166" t="e">
        <f>W187/R187</f>
        <v>#DIV/0!</v>
      </c>
      <c r="P187" s="437">
        <v>35.409999999999997</v>
      </c>
      <c r="Q187" s="443">
        <v>33.11</v>
      </c>
      <c r="R187" s="139"/>
      <c r="T187" s="78">
        <v>34.72</v>
      </c>
      <c r="U187" s="78">
        <v>32.46</v>
      </c>
    </row>
    <row r="188" spans="1:21">
      <c r="A188" s="507"/>
      <c r="B188" s="444" t="s">
        <v>98</v>
      </c>
      <c r="C188" s="441"/>
      <c r="D188" s="441"/>
      <c r="E188" s="441"/>
      <c r="F188" s="442"/>
      <c r="G188" s="441"/>
      <c r="H188" s="441"/>
      <c r="I188" s="441"/>
      <c r="J188" s="441"/>
      <c r="K188" s="441"/>
      <c r="O188" s="441"/>
      <c r="P188" s="441"/>
      <c r="Q188" s="441"/>
      <c r="R188" s="78"/>
    </row>
    <row r="189" spans="1:21">
      <c r="A189" s="507"/>
      <c r="B189" s="165" t="s">
        <v>967</v>
      </c>
      <c r="C189" s="166">
        <f>K189/F189</f>
        <v>0.98</v>
      </c>
      <c r="D189" s="166">
        <v>1.5</v>
      </c>
      <c r="E189" s="167"/>
      <c r="F189" s="168">
        <v>25</v>
      </c>
      <c r="G189" s="167" t="s">
        <v>5</v>
      </c>
      <c r="H189" s="167">
        <v>1200</v>
      </c>
      <c r="I189" s="167" t="s">
        <v>346</v>
      </c>
      <c r="J189" s="437">
        <v>26.46</v>
      </c>
      <c r="K189" s="443">
        <v>24.5</v>
      </c>
      <c r="L189" s="550"/>
      <c r="M189" s="416">
        <v>45292</v>
      </c>
      <c r="N189" s="416"/>
      <c r="O189" s="166" t="e">
        <f>W189/R189</f>
        <v>#DIV/0!</v>
      </c>
      <c r="P189" s="437">
        <v>25.79</v>
      </c>
      <c r="Q189" s="443">
        <v>23.88</v>
      </c>
      <c r="R189" s="139"/>
      <c r="T189" s="418">
        <v>25.02</v>
      </c>
      <c r="U189" s="78">
        <v>23.64</v>
      </c>
    </row>
    <row r="190" spans="1:21">
      <c r="A190" s="507"/>
      <c r="B190" s="165" t="s">
        <v>968</v>
      </c>
      <c r="C190" s="166">
        <f>K190/F190</f>
        <v>1.0780000000000001</v>
      </c>
      <c r="D190" s="166">
        <v>1.5</v>
      </c>
      <c r="E190" s="167"/>
      <c r="F190" s="168">
        <v>25</v>
      </c>
      <c r="G190" s="167" t="s">
        <v>5</v>
      </c>
      <c r="H190" s="167">
        <v>1200</v>
      </c>
      <c r="I190" s="167" t="s">
        <v>346</v>
      </c>
      <c r="J190" s="437">
        <v>29.1</v>
      </c>
      <c r="K190" s="443">
        <v>26.95</v>
      </c>
      <c r="L190" s="550"/>
      <c r="M190" s="416">
        <v>45292</v>
      </c>
      <c r="N190" s="416"/>
      <c r="O190" s="166" t="e">
        <f>W190/R190</f>
        <v>#DIV/0!</v>
      </c>
      <c r="P190" s="437">
        <v>28.37</v>
      </c>
      <c r="Q190" s="443">
        <v>26.26</v>
      </c>
      <c r="R190" s="139"/>
      <c r="T190" s="418">
        <v>27.4</v>
      </c>
      <c r="U190" s="78">
        <v>25.94</v>
      </c>
    </row>
    <row r="191" spans="1:21">
      <c r="A191" s="507"/>
      <c r="B191" s="444" t="s">
        <v>98</v>
      </c>
      <c r="C191" s="441"/>
      <c r="D191" s="441"/>
      <c r="E191" s="441"/>
      <c r="F191" s="442"/>
      <c r="G191" s="441"/>
      <c r="H191" s="441"/>
      <c r="I191" s="441"/>
      <c r="J191" s="441"/>
      <c r="K191" s="441"/>
      <c r="O191" s="441"/>
      <c r="P191" s="441"/>
      <c r="Q191" s="441"/>
      <c r="R191" s="78"/>
    </row>
    <row r="192" spans="1:21">
      <c r="A192" s="507"/>
      <c r="B192" s="165" t="s">
        <v>969</v>
      </c>
      <c r="C192" s="166">
        <f t="shared" ref="C192:C200" si="42">K192/F192</f>
        <v>1.9456</v>
      </c>
      <c r="D192" s="166">
        <v>5.5</v>
      </c>
      <c r="E192" s="167"/>
      <c r="F192" s="168">
        <v>25</v>
      </c>
      <c r="G192" s="167" t="s">
        <v>5</v>
      </c>
      <c r="H192" s="167">
        <v>1200</v>
      </c>
      <c r="I192" s="167" t="s">
        <v>346</v>
      </c>
      <c r="J192" s="437">
        <v>52.53</v>
      </c>
      <c r="K192" s="437">
        <v>48.64</v>
      </c>
      <c r="L192" s="544"/>
      <c r="M192" s="416">
        <v>45292</v>
      </c>
      <c r="N192" s="416"/>
      <c r="O192" s="166" t="e">
        <f t="shared" ref="O192:O200" si="43">W192/R192</f>
        <v>#DIV/0!</v>
      </c>
      <c r="P192" s="437">
        <v>51.2</v>
      </c>
      <c r="Q192" s="437">
        <v>47.41</v>
      </c>
      <c r="R192" s="136"/>
      <c r="T192" s="418">
        <v>49.71</v>
      </c>
      <c r="U192" s="418">
        <v>46.94</v>
      </c>
    </row>
    <row r="193" spans="1:21">
      <c r="A193" s="507"/>
      <c r="B193" s="165" t="s">
        <v>970</v>
      </c>
      <c r="C193" s="166">
        <f t="shared" si="42"/>
        <v>1.9163999999999999</v>
      </c>
      <c r="D193" s="166">
        <v>5.5</v>
      </c>
      <c r="E193" s="167"/>
      <c r="F193" s="168">
        <v>25</v>
      </c>
      <c r="G193" s="167" t="s">
        <v>5</v>
      </c>
      <c r="H193" s="167">
        <v>1200</v>
      </c>
      <c r="I193" s="167" t="s">
        <v>346</v>
      </c>
      <c r="J193" s="437">
        <v>51.74</v>
      </c>
      <c r="K193" s="437">
        <v>47.91</v>
      </c>
      <c r="L193" s="544"/>
      <c r="M193" s="416">
        <v>45292</v>
      </c>
      <c r="N193" s="416"/>
      <c r="O193" s="166" t="e">
        <f t="shared" si="43"/>
        <v>#DIV/0!</v>
      </c>
      <c r="P193" s="437">
        <v>50.43</v>
      </c>
      <c r="Q193" s="437">
        <v>46.69</v>
      </c>
      <c r="R193" s="136"/>
      <c r="T193" s="418">
        <v>49</v>
      </c>
      <c r="U193" s="418">
        <v>46.23</v>
      </c>
    </row>
    <row r="194" spans="1:21">
      <c r="A194" s="507"/>
      <c r="B194" s="165" t="s">
        <v>971</v>
      </c>
      <c r="C194" s="166">
        <f t="shared" si="42"/>
        <v>0.95</v>
      </c>
      <c r="D194" s="166">
        <v>6</v>
      </c>
      <c r="E194" s="167"/>
      <c r="F194" s="168">
        <v>25</v>
      </c>
      <c r="G194" s="167" t="s">
        <v>5</v>
      </c>
      <c r="H194" s="167">
        <v>1200</v>
      </c>
      <c r="I194" s="167" t="s">
        <v>346</v>
      </c>
      <c r="J194" s="437">
        <v>25.53</v>
      </c>
      <c r="K194" s="437">
        <v>23.75</v>
      </c>
      <c r="L194" s="544"/>
      <c r="M194" s="416">
        <v>45292</v>
      </c>
      <c r="N194" s="416"/>
      <c r="O194" s="166" t="e">
        <f t="shared" si="43"/>
        <v>#DIV/0!</v>
      </c>
      <c r="P194" s="437">
        <v>24.88</v>
      </c>
      <c r="Q194" s="437">
        <v>23.15</v>
      </c>
      <c r="R194" s="136"/>
      <c r="T194" s="418">
        <v>24.2</v>
      </c>
      <c r="U194" s="418">
        <v>22.81</v>
      </c>
    </row>
    <row r="195" spans="1:21">
      <c r="A195" s="507"/>
      <c r="B195" s="165" t="s">
        <v>972</v>
      </c>
      <c r="C195" s="166">
        <f t="shared" si="42"/>
        <v>0.89400000000000002</v>
      </c>
      <c r="D195" s="166">
        <v>6</v>
      </c>
      <c r="E195" s="167"/>
      <c r="F195" s="168">
        <v>25</v>
      </c>
      <c r="G195" s="167" t="s">
        <v>5</v>
      </c>
      <c r="H195" s="167">
        <v>1200</v>
      </c>
      <c r="I195" s="167" t="s">
        <v>346</v>
      </c>
      <c r="J195" s="437">
        <v>24.02</v>
      </c>
      <c r="K195" s="437">
        <v>22.35</v>
      </c>
      <c r="L195" s="544"/>
      <c r="M195" s="416">
        <v>45292</v>
      </c>
      <c r="N195" s="416"/>
      <c r="O195" s="166" t="e">
        <f t="shared" si="43"/>
        <v>#DIV/0!</v>
      </c>
      <c r="P195" s="437">
        <v>23.41</v>
      </c>
      <c r="Q195" s="437">
        <v>21.78</v>
      </c>
      <c r="R195" s="136"/>
      <c r="T195" s="418">
        <v>22.94</v>
      </c>
      <c r="U195" s="418">
        <v>21.46</v>
      </c>
    </row>
    <row r="196" spans="1:21">
      <c r="A196" s="507"/>
      <c r="B196" s="165" t="s">
        <v>1012</v>
      </c>
      <c r="C196" s="166">
        <f t="shared" si="42"/>
        <v>1.0820000000000001</v>
      </c>
      <c r="D196" s="166">
        <v>6</v>
      </c>
      <c r="E196" s="167"/>
      <c r="F196" s="168">
        <v>25</v>
      </c>
      <c r="G196" s="167" t="s">
        <v>5</v>
      </c>
      <c r="H196" s="167">
        <v>1200</v>
      </c>
      <c r="I196" s="167" t="s">
        <v>346</v>
      </c>
      <c r="J196" s="437">
        <v>29.21</v>
      </c>
      <c r="K196" s="437">
        <v>27.05</v>
      </c>
      <c r="L196" s="544"/>
      <c r="M196" s="416">
        <v>45292</v>
      </c>
      <c r="N196" s="416"/>
      <c r="O196" s="166" t="e">
        <f t="shared" si="43"/>
        <v>#DIV/0!</v>
      </c>
      <c r="P196" s="437">
        <v>26.12</v>
      </c>
      <c r="Q196" s="437">
        <v>24.19</v>
      </c>
      <c r="R196" s="136"/>
      <c r="T196" s="418">
        <v>27.68</v>
      </c>
      <c r="U196" s="418">
        <v>26.1</v>
      </c>
    </row>
    <row r="197" spans="1:21">
      <c r="A197" s="507"/>
      <c r="B197" s="165" t="s">
        <v>975</v>
      </c>
      <c r="C197" s="166">
        <f t="shared" si="42"/>
        <v>1.6680000000000001</v>
      </c>
      <c r="D197" s="166">
        <v>6</v>
      </c>
      <c r="E197" s="167"/>
      <c r="F197" s="168">
        <v>25</v>
      </c>
      <c r="G197" s="167" t="s">
        <v>5</v>
      </c>
      <c r="H197" s="167">
        <v>1200</v>
      </c>
      <c r="I197" s="167" t="s">
        <v>346</v>
      </c>
      <c r="J197" s="437">
        <v>45.04</v>
      </c>
      <c r="K197" s="437">
        <v>41.7</v>
      </c>
      <c r="L197" s="544"/>
      <c r="M197" s="416">
        <v>45292</v>
      </c>
      <c r="N197" s="416"/>
      <c r="O197" s="166" t="e">
        <f t="shared" si="43"/>
        <v>#DIV/0!</v>
      </c>
      <c r="P197" s="437">
        <v>43.89</v>
      </c>
      <c r="Q197" s="437">
        <v>40.64</v>
      </c>
      <c r="R197" s="136"/>
      <c r="T197" s="418">
        <v>42.66</v>
      </c>
      <c r="U197" s="418">
        <v>40.24</v>
      </c>
    </row>
    <row r="198" spans="1:21">
      <c r="A198" s="507"/>
      <c r="B198" s="165" t="s">
        <v>1013</v>
      </c>
      <c r="C198" s="166">
        <f t="shared" si="42"/>
        <v>1.7736000000000001</v>
      </c>
      <c r="D198" s="166">
        <v>6</v>
      </c>
      <c r="E198" s="167"/>
      <c r="F198" s="168">
        <v>25</v>
      </c>
      <c r="G198" s="167" t="s">
        <v>5</v>
      </c>
      <c r="H198" s="167">
        <v>1200</v>
      </c>
      <c r="I198" s="167" t="s">
        <v>346</v>
      </c>
      <c r="J198" s="437">
        <v>47.89</v>
      </c>
      <c r="K198" s="437">
        <v>44.34</v>
      </c>
      <c r="L198" s="544"/>
      <c r="M198" s="416">
        <v>45292</v>
      </c>
      <c r="N198" s="416"/>
      <c r="O198" s="166" t="e">
        <f t="shared" si="43"/>
        <v>#DIV/0!</v>
      </c>
      <c r="P198" s="437">
        <v>46.09</v>
      </c>
      <c r="Q198" s="437">
        <v>42.67</v>
      </c>
      <c r="R198" s="136"/>
      <c r="T198" s="418">
        <v>45.37</v>
      </c>
      <c r="U198" s="418">
        <v>42.79</v>
      </c>
    </row>
    <row r="199" spans="1:21">
      <c r="A199" s="507"/>
      <c r="B199" s="165" t="s">
        <v>977</v>
      </c>
      <c r="C199" s="166">
        <f t="shared" si="42"/>
        <v>2.3012000000000001</v>
      </c>
      <c r="D199" s="166">
        <v>5.4</v>
      </c>
      <c r="E199" s="167"/>
      <c r="F199" s="168">
        <v>25</v>
      </c>
      <c r="G199" s="167" t="s">
        <v>5</v>
      </c>
      <c r="H199" s="167">
        <v>1200</v>
      </c>
      <c r="I199" s="167" t="s">
        <v>346</v>
      </c>
      <c r="J199" s="437">
        <v>62.14</v>
      </c>
      <c r="K199" s="437">
        <v>57.53</v>
      </c>
      <c r="L199" s="544"/>
      <c r="M199" s="416">
        <v>45292</v>
      </c>
      <c r="N199" s="416"/>
      <c r="O199" s="166" t="e">
        <f t="shared" si="43"/>
        <v>#DIV/0!</v>
      </c>
      <c r="P199" s="437">
        <v>60.56</v>
      </c>
      <c r="Q199" s="437">
        <v>56.08</v>
      </c>
      <c r="R199" s="136"/>
      <c r="T199" s="418">
        <v>58.86</v>
      </c>
      <c r="U199" s="418">
        <v>55.52</v>
      </c>
    </row>
    <row r="200" spans="1:21">
      <c r="A200" s="507"/>
      <c r="B200" s="165" t="s">
        <v>978</v>
      </c>
      <c r="C200" s="166">
        <f t="shared" si="42"/>
        <v>2.2568000000000001</v>
      </c>
      <c r="D200" s="166">
        <v>5.4</v>
      </c>
      <c r="E200" s="167"/>
      <c r="F200" s="168">
        <v>25</v>
      </c>
      <c r="G200" s="167" t="s">
        <v>5</v>
      </c>
      <c r="H200" s="167">
        <v>1200</v>
      </c>
      <c r="I200" s="167" t="s">
        <v>346</v>
      </c>
      <c r="J200" s="437">
        <v>60.94</v>
      </c>
      <c r="K200" s="437">
        <v>56.42</v>
      </c>
      <c r="L200" s="544"/>
      <c r="M200" s="416">
        <v>45292</v>
      </c>
      <c r="N200" s="416"/>
      <c r="O200" s="166" t="e">
        <f t="shared" si="43"/>
        <v>#DIV/0!</v>
      </c>
      <c r="P200" s="437">
        <v>59.39</v>
      </c>
      <c r="Q200" s="437">
        <v>54.99</v>
      </c>
      <c r="R200" s="136"/>
      <c r="T200" s="418">
        <v>57.61</v>
      </c>
      <c r="U200" s="418">
        <v>54.45</v>
      </c>
    </row>
    <row r="201" spans="1:21">
      <c r="A201" s="507"/>
      <c r="B201" s="444" t="s">
        <v>98</v>
      </c>
      <c r="C201" s="441"/>
      <c r="D201" s="441"/>
      <c r="E201" s="441"/>
      <c r="F201" s="442"/>
      <c r="G201" s="441"/>
      <c r="H201" s="441"/>
      <c r="I201" s="441"/>
      <c r="J201" s="441"/>
      <c r="K201" s="441"/>
      <c r="O201" s="441"/>
      <c r="P201" s="441"/>
      <c r="Q201" s="441"/>
      <c r="R201" s="78"/>
    </row>
    <row r="202" spans="1:21">
      <c r="A202" s="507"/>
      <c r="B202" s="165" t="s">
        <v>1014</v>
      </c>
      <c r="C202" s="166">
        <f>K202/F202</f>
        <v>5.8374999999999995</v>
      </c>
      <c r="D202" s="167"/>
      <c r="E202" s="167"/>
      <c r="F202" s="168">
        <v>12</v>
      </c>
      <c r="G202" s="167" t="s">
        <v>5</v>
      </c>
      <c r="H202" s="167">
        <v>720</v>
      </c>
      <c r="I202" s="167" t="s">
        <v>351</v>
      </c>
      <c r="J202" s="437">
        <v>73.739999999999995</v>
      </c>
      <c r="K202" s="437">
        <v>70.05</v>
      </c>
      <c r="L202" s="544">
        <v>1.4</v>
      </c>
      <c r="M202" s="416">
        <v>45474</v>
      </c>
      <c r="N202" s="416"/>
      <c r="O202" s="166" t="e">
        <f>W202/R202</f>
        <v>#DIV/0!</v>
      </c>
      <c r="P202" s="437">
        <v>71.87</v>
      </c>
      <c r="Q202" s="437">
        <v>68.27</v>
      </c>
      <c r="R202" s="136"/>
      <c r="T202" s="78">
        <v>73.27</v>
      </c>
      <c r="U202" s="78">
        <v>71.16</v>
      </c>
    </row>
    <row r="203" spans="1:21">
      <c r="A203" s="507"/>
      <c r="B203" s="165" t="s">
        <v>1015</v>
      </c>
      <c r="C203" s="166">
        <f>K203/F203</f>
        <v>4.1375000000000002</v>
      </c>
      <c r="D203" s="167"/>
      <c r="E203" s="167"/>
      <c r="F203" s="168">
        <v>12</v>
      </c>
      <c r="G203" s="167" t="s">
        <v>5</v>
      </c>
      <c r="H203" s="167">
        <v>720</v>
      </c>
      <c r="I203" s="167" t="s">
        <v>351</v>
      </c>
      <c r="J203" s="437">
        <v>54.6</v>
      </c>
      <c r="K203" s="437">
        <v>49.65</v>
      </c>
      <c r="L203" s="544">
        <v>1.4</v>
      </c>
      <c r="M203" s="416">
        <v>45474</v>
      </c>
      <c r="N203" s="416"/>
      <c r="O203" s="166" t="e">
        <f>W203/R203</f>
        <v>#DIV/0!</v>
      </c>
      <c r="P203" s="437">
        <v>53.22</v>
      </c>
      <c r="Q203" s="437">
        <v>48.39</v>
      </c>
      <c r="R203" s="136"/>
      <c r="T203" s="78">
        <v>139.22</v>
      </c>
      <c r="U203" s="78">
        <v>135.16</v>
      </c>
    </row>
    <row r="204" spans="1:21">
      <c r="A204" s="507"/>
      <c r="B204" s="444" t="s">
        <v>98</v>
      </c>
      <c r="C204" s="166"/>
      <c r="D204" s="167"/>
      <c r="E204" s="167"/>
      <c r="F204" s="168"/>
      <c r="G204" s="167"/>
      <c r="H204" s="167"/>
      <c r="I204" s="167"/>
      <c r="J204" s="437"/>
      <c r="K204" s="437"/>
      <c r="L204" s="544"/>
      <c r="M204" s="416"/>
      <c r="N204" s="416"/>
      <c r="O204" s="166"/>
      <c r="P204" s="437"/>
      <c r="Q204" s="437"/>
      <c r="R204" s="136"/>
    </row>
    <row r="205" spans="1:21">
      <c r="O205" s="55"/>
      <c r="R205" s="78"/>
    </row>
    <row r="206" spans="1:21">
      <c r="A206" s="503"/>
      <c r="B206" s="174" t="s">
        <v>522</v>
      </c>
      <c r="C206" s="175">
        <f>K206/F206</f>
        <v>17.434285714285714</v>
      </c>
      <c r="D206" s="175">
        <v>0.3</v>
      </c>
      <c r="E206" s="176"/>
      <c r="F206" s="177">
        <v>14</v>
      </c>
      <c r="G206" s="176" t="s">
        <v>13</v>
      </c>
      <c r="H206" s="176">
        <v>336</v>
      </c>
      <c r="I206" s="176" t="s">
        <v>353</v>
      </c>
      <c r="J206" s="445">
        <v>246.52</v>
      </c>
      <c r="K206" s="445">
        <v>244.08</v>
      </c>
      <c r="L206" s="544"/>
      <c r="M206" s="416">
        <v>45292</v>
      </c>
      <c r="N206" s="416"/>
      <c r="O206" s="175" t="e">
        <f>W206/R206</f>
        <v>#DIV/0!</v>
      </c>
      <c r="P206" s="445">
        <v>240.27</v>
      </c>
      <c r="Q206" s="445">
        <v>237.9</v>
      </c>
      <c r="R206" s="144"/>
      <c r="T206" s="78">
        <v>232.82</v>
      </c>
      <c r="U206" s="78">
        <v>230.52</v>
      </c>
    </row>
    <row r="207" spans="1:21">
      <c r="A207" s="503"/>
      <c r="B207" s="174" t="s">
        <v>523</v>
      </c>
      <c r="C207" s="175">
        <f>K207/F207</f>
        <v>18.480714285714289</v>
      </c>
      <c r="D207" s="175">
        <v>0.3</v>
      </c>
      <c r="E207" s="176"/>
      <c r="F207" s="177">
        <v>14</v>
      </c>
      <c r="G207" s="176" t="s">
        <v>13</v>
      </c>
      <c r="H207" s="176">
        <v>336</v>
      </c>
      <c r="I207" s="176" t="s">
        <v>353</v>
      </c>
      <c r="J207" s="445">
        <v>261.31</v>
      </c>
      <c r="K207" s="445">
        <v>258.73</v>
      </c>
      <c r="L207" s="544"/>
      <c r="M207" s="416">
        <v>45292</v>
      </c>
      <c r="N207" s="416"/>
      <c r="O207" s="175" t="e">
        <f>W207/R207</f>
        <v>#DIV/0!</v>
      </c>
      <c r="P207" s="445">
        <v>254.69</v>
      </c>
      <c r="Q207" s="445">
        <v>252.17</v>
      </c>
      <c r="R207" s="144"/>
      <c r="T207" s="78">
        <v>247.72</v>
      </c>
      <c r="U207" s="78">
        <v>245.3</v>
      </c>
    </row>
    <row r="208" spans="1:21">
      <c r="A208" s="503"/>
      <c r="B208" s="109" t="s">
        <v>98</v>
      </c>
      <c r="C208" s="70" t="s">
        <v>98</v>
      </c>
      <c r="D208" s="70" t="s">
        <v>98</v>
      </c>
      <c r="E208" s="70"/>
      <c r="F208" s="92" t="s">
        <v>98</v>
      </c>
      <c r="G208" s="70" t="s">
        <v>98</v>
      </c>
      <c r="H208" s="70" t="s">
        <v>98</v>
      </c>
      <c r="I208" s="70" t="s">
        <v>98</v>
      </c>
      <c r="J208" s="70" t="s">
        <v>98</v>
      </c>
      <c r="K208" s="70" t="s">
        <v>98</v>
      </c>
      <c r="O208" s="70" t="s">
        <v>98</v>
      </c>
      <c r="P208" s="70" t="s">
        <v>98</v>
      </c>
      <c r="Q208" s="70" t="s">
        <v>98</v>
      </c>
      <c r="R208" s="78"/>
    </row>
    <row r="209" spans="1:21">
      <c r="A209" s="503"/>
      <c r="B209" s="174" t="s">
        <v>959</v>
      </c>
      <c r="C209" s="175" t="e">
        <f>K209/F209</f>
        <v>#VALUE!</v>
      </c>
      <c r="D209" s="175">
        <v>0.2</v>
      </c>
      <c r="E209" s="176"/>
      <c r="F209" s="177">
        <v>20</v>
      </c>
      <c r="G209" s="176" t="s">
        <v>5</v>
      </c>
      <c r="H209" s="176">
        <v>720</v>
      </c>
      <c r="I209" s="176" t="s">
        <v>353</v>
      </c>
      <c r="J209" s="445">
        <f>J168</f>
        <v>249.22</v>
      </c>
      <c r="K209" s="445" t="s">
        <v>1011</v>
      </c>
      <c r="L209" s="544"/>
      <c r="M209" s="416">
        <v>45292</v>
      </c>
      <c r="N209" s="416"/>
      <c r="O209" s="175" t="e">
        <f>W209/R209</f>
        <v>#DIV/0!</v>
      </c>
      <c r="P209" s="445">
        <f>P168</f>
        <v>242.91</v>
      </c>
      <c r="Q209" s="445">
        <f>Q168</f>
        <v>234.83</v>
      </c>
      <c r="R209" s="136"/>
      <c r="T209" s="78">
        <f>T168</f>
        <v>240.63</v>
      </c>
      <c r="U209" s="78">
        <f>U168</f>
        <v>232.62</v>
      </c>
    </row>
    <row r="210" spans="1:21">
      <c r="A210" s="503"/>
      <c r="B210" s="174" t="s">
        <v>961</v>
      </c>
      <c r="C210" s="175">
        <f>K210/F210</f>
        <v>13.956</v>
      </c>
      <c r="D210" s="175">
        <v>0.2</v>
      </c>
      <c r="E210" s="176"/>
      <c r="F210" s="177">
        <v>5</v>
      </c>
      <c r="G210" s="176" t="s">
        <v>5</v>
      </c>
      <c r="H210" s="176">
        <v>450</v>
      </c>
      <c r="I210" s="176" t="s">
        <v>353</v>
      </c>
      <c r="J210" s="445">
        <f>J169</f>
        <v>72.19</v>
      </c>
      <c r="K210" s="445">
        <f>K169</f>
        <v>69.78</v>
      </c>
      <c r="L210" s="544"/>
      <c r="M210" s="416">
        <v>45292</v>
      </c>
      <c r="N210" s="416"/>
      <c r="O210" s="175" t="e">
        <f>W210/R210</f>
        <v>#DIV/0!</v>
      </c>
      <c r="P210" s="445">
        <f>P169</f>
        <v>70.36</v>
      </c>
      <c r="Q210" s="445">
        <f>Q169</f>
        <v>68.010000000000005</v>
      </c>
      <c r="R210" s="136"/>
      <c r="T210" s="78" t="s">
        <v>98</v>
      </c>
      <c r="U210" s="78" t="s">
        <v>98</v>
      </c>
    </row>
    <row r="211" spans="1:21">
      <c r="A211" s="503"/>
      <c r="B211" s="174" t="s">
        <v>982</v>
      </c>
      <c r="C211" s="175">
        <f>K211/F211</f>
        <v>7.9079999999999995</v>
      </c>
      <c r="D211" s="175">
        <v>0.3</v>
      </c>
      <c r="E211" s="176"/>
      <c r="F211" s="177">
        <v>20</v>
      </c>
      <c r="G211" s="176" t="s">
        <v>5</v>
      </c>
      <c r="H211" s="176">
        <v>480</v>
      </c>
      <c r="I211" s="176" t="s">
        <v>353</v>
      </c>
      <c r="J211" s="446">
        <v>163.34</v>
      </c>
      <c r="K211" s="446">
        <v>158.16</v>
      </c>
      <c r="L211" s="550"/>
      <c r="M211" s="416">
        <v>45292</v>
      </c>
      <c r="N211" s="416"/>
      <c r="O211" s="175" t="e">
        <f>W211/R211</f>
        <v>#DIV/0!</v>
      </c>
      <c r="P211" s="446">
        <v>159.49</v>
      </c>
      <c r="Q211" s="446">
        <v>154.16</v>
      </c>
      <c r="R211" s="139"/>
      <c r="T211" s="78">
        <v>157.91</v>
      </c>
      <c r="U211" s="78">
        <v>152.63</v>
      </c>
    </row>
    <row r="212" spans="1:21">
      <c r="A212" s="503"/>
      <c r="B212" s="109" t="s">
        <v>98</v>
      </c>
      <c r="C212" s="70" t="s">
        <v>98</v>
      </c>
      <c r="D212" s="70" t="s">
        <v>98</v>
      </c>
      <c r="E212" s="70"/>
      <c r="F212" s="92" t="s">
        <v>98</v>
      </c>
      <c r="G212" s="70" t="s">
        <v>98</v>
      </c>
      <c r="H212" s="70" t="s">
        <v>98</v>
      </c>
      <c r="I212" s="70" t="s">
        <v>98</v>
      </c>
      <c r="J212" s="70" t="s">
        <v>98</v>
      </c>
      <c r="K212" s="70" t="s">
        <v>98</v>
      </c>
      <c r="O212" s="70" t="s">
        <v>98</v>
      </c>
      <c r="P212" s="70" t="s">
        <v>98</v>
      </c>
      <c r="Q212" s="70" t="s">
        <v>98</v>
      </c>
      <c r="R212" s="78"/>
    </row>
    <row r="213" spans="1:21">
      <c r="A213" s="503"/>
      <c r="B213" s="174" t="s">
        <v>983</v>
      </c>
      <c r="C213" s="176">
        <f>K213/F213</f>
        <v>0.78749999999999998</v>
      </c>
      <c r="D213" s="175">
        <v>5.5</v>
      </c>
      <c r="E213" s="176"/>
      <c r="F213" s="177">
        <v>100</v>
      </c>
      <c r="G213" s="176" t="s">
        <v>8</v>
      </c>
      <c r="H213" s="176" t="s">
        <v>98</v>
      </c>
      <c r="I213" s="176" t="s">
        <v>351</v>
      </c>
      <c r="J213" s="445">
        <v>78.75</v>
      </c>
      <c r="K213" s="445">
        <f>J213</f>
        <v>78.75</v>
      </c>
      <c r="L213" s="544"/>
      <c r="M213" s="416">
        <v>45292</v>
      </c>
      <c r="N213" s="416"/>
      <c r="O213" s="176" t="e">
        <f>W213/R213</f>
        <v>#DIV/0!</v>
      </c>
      <c r="P213" s="445">
        <v>76.73</v>
      </c>
      <c r="Q213" s="445">
        <f>P213</f>
        <v>76.73</v>
      </c>
      <c r="R213" s="139"/>
      <c r="T213" s="418">
        <v>74.5</v>
      </c>
      <c r="U213" s="418">
        <v>74.5</v>
      </c>
    </row>
    <row r="214" spans="1:21">
      <c r="A214" s="454"/>
      <c r="B214" s="109" t="s">
        <v>98</v>
      </c>
      <c r="C214" s="70" t="s">
        <v>98</v>
      </c>
      <c r="D214" s="70" t="s">
        <v>98</v>
      </c>
      <c r="E214" s="70"/>
      <c r="F214" s="92" t="s">
        <v>98</v>
      </c>
      <c r="G214" s="70" t="s">
        <v>98</v>
      </c>
      <c r="H214" s="70" t="s">
        <v>98</v>
      </c>
      <c r="I214" s="70" t="s">
        <v>98</v>
      </c>
      <c r="J214" s="70" t="s">
        <v>98</v>
      </c>
      <c r="K214" s="70" t="s">
        <v>98</v>
      </c>
      <c r="O214" s="70" t="s">
        <v>98</v>
      </c>
      <c r="P214" s="70" t="s">
        <v>98</v>
      </c>
      <c r="Q214" s="70" t="s">
        <v>98</v>
      </c>
      <c r="R214" s="78"/>
    </row>
    <row r="215" spans="1:21" ht="16.5">
      <c r="A215" s="454"/>
      <c r="B215" s="174" t="s">
        <v>647</v>
      </c>
      <c r="C215" s="175">
        <f>K215/F215</f>
        <v>18.37533097969991</v>
      </c>
      <c r="D215" s="175">
        <v>1</v>
      </c>
      <c r="E215" s="176"/>
      <c r="F215" s="177">
        <v>45.32</v>
      </c>
      <c r="G215" s="176" t="s">
        <v>646</v>
      </c>
      <c r="H215" s="176">
        <v>45.32</v>
      </c>
      <c r="I215" s="176" t="s">
        <v>351</v>
      </c>
      <c r="J215" s="446">
        <v>832.77</v>
      </c>
      <c r="K215" s="446">
        <f>J215</f>
        <v>832.77</v>
      </c>
      <c r="L215" s="550"/>
      <c r="M215" s="416">
        <v>45292</v>
      </c>
      <c r="N215" s="416"/>
      <c r="O215" s="175" t="e">
        <f>W215/R215</f>
        <v>#DIV/0!</v>
      </c>
      <c r="P215" s="446">
        <v>812.97</v>
      </c>
      <c r="Q215" s="446">
        <f>P215</f>
        <v>812.97</v>
      </c>
      <c r="R215" s="139"/>
      <c r="T215" s="78">
        <v>789.29</v>
      </c>
      <c r="U215" s="78">
        <v>789.29</v>
      </c>
    </row>
    <row r="216" spans="1:21">
      <c r="O216" s="55"/>
      <c r="R216" s="78"/>
    </row>
    <row r="217" spans="1:21">
      <c r="A217" s="512" t="s">
        <v>122</v>
      </c>
      <c r="B217" s="203" t="s">
        <v>648</v>
      </c>
      <c r="C217" s="206">
        <f>K217/F217</f>
        <v>6.5987999999999998</v>
      </c>
      <c r="D217" s="207">
        <v>1</v>
      </c>
      <c r="E217" s="207"/>
      <c r="F217" s="208">
        <v>25</v>
      </c>
      <c r="G217" s="207" t="s">
        <v>141</v>
      </c>
      <c r="H217" s="207" t="s">
        <v>98</v>
      </c>
      <c r="I217" s="207" t="s">
        <v>354</v>
      </c>
      <c r="J217" s="447">
        <v>164.97</v>
      </c>
      <c r="K217" s="447">
        <f>J217</f>
        <v>164.97</v>
      </c>
      <c r="L217" s="544"/>
      <c r="M217" s="416">
        <v>45292</v>
      </c>
      <c r="N217" s="416"/>
      <c r="O217" s="206" t="e">
        <f>W217/R217</f>
        <v>#DIV/0!</v>
      </c>
      <c r="P217" s="447">
        <v>160.33000000000001</v>
      </c>
      <c r="Q217" s="447">
        <f>P217</f>
        <v>160.33000000000001</v>
      </c>
      <c r="R217" s="136"/>
      <c r="T217" s="78">
        <v>158.75</v>
      </c>
      <c r="U217" s="78">
        <v>158.75</v>
      </c>
    </row>
    <row r="218" spans="1:21" s="132" customFormat="1">
      <c r="A218" s="512"/>
      <c r="B218" s="203"/>
      <c r="C218" s="206">
        <v>5.77</v>
      </c>
      <c r="D218" s="207">
        <v>1</v>
      </c>
      <c r="E218" s="207"/>
      <c r="F218" s="208">
        <v>25</v>
      </c>
      <c r="G218" s="207" t="s">
        <v>141</v>
      </c>
      <c r="H218" s="207" t="s">
        <v>98</v>
      </c>
      <c r="I218" s="207" t="s">
        <v>354</v>
      </c>
      <c r="J218" s="448"/>
      <c r="K218" s="449">
        <f>J218</f>
        <v>0</v>
      </c>
      <c r="L218" s="551"/>
      <c r="M218" s="160">
        <v>44927</v>
      </c>
      <c r="N218" s="160"/>
      <c r="O218" s="206">
        <v>5.77</v>
      </c>
      <c r="P218" s="448"/>
      <c r="Q218" s="449">
        <f>P218</f>
        <v>0</v>
      </c>
      <c r="R218" s="140"/>
      <c r="T218" s="78">
        <v>152.91</v>
      </c>
      <c r="U218" s="78">
        <v>152.91</v>
      </c>
    </row>
    <row r="219" spans="1:21">
      <c r="A219" s="512"/>
      <c r="B219" s="203" t="s">
        <v>649</v>
      </c>
      <c r="C219" s="206">
        <f t="shared" ref="C219:C235" si="44">K219/F219</f>
        <v>6.98</v>
      </c>
      <c r="D219" s="207">
        <v>1</v>
      </c>
      <c r="E219" s="207"/>
      <c r="F219" s="208">
        <v>25</v>
      </c>
      <c r="G219" s="207" t="s">
        <v>141</v>
      </c>
      <c r="H219" s="207" t="s">
        <v>98</v>
      </c>
      <c r="I219" s="207" t="s">
        <v>354</v>
      </c>
      <c r="J219" s="447">
        <v>174.5</v>
      </c>
      <c r="K219" s="447">
        <f t="shared" ref="K219:K235" si="45">J219</f>
        <v>174.5</v>
      </c>
      <c r="L219" s="544"/>
      <c r="M219" s="416">
        <v>45292</v>
      </c>
      <c r="N219" s="416"/>
      <c r="O219" s="206" t="e">
        <f t="shared" ref="O219:O235" si="46">W219/R219</f>
        <v>#DIV/0!</v>
      </c>
      <c r="P219" s="447">
        <v>170.19</v>
      </c>
      <c r="Q219" s="447">
        <f t="shared" ref="Q219:Q235" si="47">P219</f>
        <v>170.19</v>
      </c>
      <c r="R219" s="136"/>
      <c r="T219" s="78">
        <v>168.51</v>
      </c>
      <c r="U219" s="78">
        <v>168.51</v>
      </c>
    </row>
    <row r="220" spans="1:21" s="132" customFormat="1">
      <c r="A220" s="512"/>
      <c r="B220" s="203"/>
      <c r="C220" s="206">
        <v>6.47</v>
      </c>
      <c r="D220" s="207">
        <v>1</v>
      </c>
      <c r="E220" s="207"/>
      <c r="F220" s="208">
        <v>25</v>
      </c>
      <c r="G220" s="207" t="s">
        <v>141</v>
      </c>
      <c r="H220" s="207" t="s">
        <v>98</v>
      </c>
      <c r="I220" s="207" t="s">
        <v>354</v>
      </c>
      <c r="J220" s="448"/>
      <c r="K220" s="448">
        <f t="shared" si="45"/>
        <v>0</v>
      </c>
      <c r="L220" s="552"/>
      <c r="M220" s="160">
        <v>44927</v>
      </c>
      <c r="N220" s="160"/>
      <c r="O220" s="206">
        <v>6.47</v>
      </c>
      <c r="P220" s="448"/>
      <c r="Q220" s="448">
        <f t="shared" si="47"/>
        <v>0</v>
      </c>
      <c r="R220" s="140"/>
      <c r="T220" s="78">
        <v>171.62</v>
      </c>
      <c r="U220" s="78">
        <v>171.62</v>
      </c>
    </row>
    <row r="221" spans="1:21">
      <c r="A221" s="512"/>
      <c r="B221" s="203" t="s">
        <v>650</v>
      </c>
      <c r="C221" s="206">
        <f t="shared" si="44"/>
        <v>7.8096000000000005</v>
      </c>
      <c r="D221" s="207">
        <v>1</v>
      </c>
      <c r="E221" s="207"/>
      <c r="F221" s="208">
        <v>25</v>
      </c>
      <c r="G221" s="207" t="s">
        <v>141</v>
      </c>
      <c r="H221" s="207" t="s">
        <v>98</v>
      </c>
      <c r="I221" s="207" t="s">
        <v>354</v>
      </c>
      <c r="J221" s="447">
        <v>195.24</v>
      </c>
      <c r="K221" s="450">
        <f t="shared" si="45"/>
        <v>195.24</v>
      </c>
      <c r="L221" s="550"/>
      <c r="M221" s="416">
        <v>45292</v>
      </c>
      <c r="N221" s="416"/>
      <c r="O221" s="206" t="e">
        <f t="shared" si="46"/>
        <v>#DIV/0!</v>
      </c>
      <c r="P221" s="447">
        <v>188.79</v>
      </c>
      <c r="Q221" s="450">
        <f t="shared" si="47"/>
        <v>188.79</v>
      </c>
      <c r="R221" s="136"/>
      <c r="T221" s="78">
        <v>188.79</v>
      </c>
      <c r="U221" s="78">
        <v>188.79</v>
      </c>
    </row>
    <row r="222" spans="1:21" s="132" customFormat="1">
      <c r="A222" s="512"/>
      <c r="B222" s="203"/>
      <c r="C222" s="206">
        <v>7.94</v>
      </c>
      <c r="D222" s="207">
        <v>1</v>
      </c>
      <c r="E222" s="207"/>
      <c r="F222" s="208">
        <v>25</v>
      </c>
      <c r="G222" s="207" t="s">
        <v>141</v>
      </c>
      <c r="H222" s="207" t="s">
        <v>98</v>
      </c>
      <c r="I222" s="207" t="s">
        <v>354</v>
      </c>
      <c r="J222" s="448"/>
      <c r="K222" s="448">
        <f t="shared" si="45"/>
        <v>0</v>
      </c>
      <c r="L222" s="552"/>
      <c r="M222" s="160">
        <v>44927</v>
      </c>
      <c r="N222" s="160"/>
      <c r="O222" s="206">
        <v>7.94</v>
      </c>
      <c r="P222" s="448"/>
      <c r="Q222" s="448">
        <f t="shared" si="47"/>
        <v>0</v>
      </c>
      <c r="R222" s="140"/>
      <c r="T222" s="78">
        <v>210.62</v>
      </c>
      <c r="U222" s="78">
        <v>210.62</v>
      </c>
    </row>
    <row r="223" spans="1:21">
      <c r="A223" s="512"/>
      <c r="B223" s="203" t="s">
        <v>651</v>
      </c>
      <c r="C223" s="206">
        <f t="shared" si="44"/>
        <v>10.2948</v>
      </c>
      <c r="D223" s="207">
        <v>1</v>
      </c>
      <c r="E223" s="207"/>
      <c r="F223" s="208">
        <v>25</v>
      </c>
      <c r="G223" s="207" t="s">
        <v>141</v>
      </c>
      <c r="H223" s="207" t="s">
        <v>98</v>
      </c>
      <c r="I223" s="207" t="s">
        <v>354</v>
      </c>
      <c r="J223" s="450">
        <v>257.37</v>
      </c>
      <c r="K223" s="450">
        <f t="shared" si="45"/>
        <v>257.37</v>
      </c>
      <c r="L223" s="550"/>
      <c r="M223" s="416">
        <v>45292</v>
      </c>
      <c r="N223" s="416"/>
      <c r="O223" s="206" t="e">
        <f t="shared" si="46"/>
        <v>#DIV/0!</v>
      </c>
      <c r="P223" s="450">
        <v>251.34</v>
      </c>
      <c r="Q223" s="450">
        <f t="shared" si="47"/>
        <v>251.34</v>
      </c>
      <c r="R223" s="136"/>
      <c r="T223" s="78">
        <v>248.86</v>
      </c>
      <c r="U223" s="78">
        <v>248.86</v>
      </c>
    </row>
    <row r="224" spans="1:21" s="132" customFormat="1">
      <c r="A224" s="512"/>
      <c r="B224" s="203"/>
      <c r="C224" s="206">
        <v>8.24</v>
      </c>
      <c r="D224" s="207">
        <v>1</v>
      </c>
      <c r="E224" s="207"/>
      <c r="F224" s="208">
        <v>15</v>
      </c>
      <c r="G224" s="207" t="s">
        <v>141</v>
      </c>
      <c r="H224" s="207" t="s">
        <v>98</v>
      </c>
      <c r="I224" s="207" t="s">
        <v>354</v>
      </c>
      <c r="J224" s="448"/>
      <c r="K224" s="448">
        <f t="shared" si="45"/>
        <v>0</v>
      </c>
      <c r="L224" s="552"/>
      <c r="M224" s="160">
        <v>44927</v>
      </c>
      <c r="N224" s="160"/>
      <c r="O224" s="206">
        <v>8.24</v>
      </c>
      <c r="P224" s="448"/>
      <c r="Q224" s="448">
        <f t="shared" si="47"/>
        <v>0</v>
      </c>
      <c r="R224" s="140"/>
      <c r="T224" s="78">
        <v>218.42</v>
      </c>
      <c r="U224" s="78">
        <v>218.42</v>
      </c>
    </row>
    <row r="225" spans="1:21">
      <c r="A225" s="512"/>
      <c r="B225" s="203" t="s">
        <v>652</v>
      </c>
      <c r="C225" s="206">
        <f t="shared" si="44"/>
        <v>11.889999999999999</v>
      </c>
      <c r="D225" s="207">
        <v>1</v>
      </c>
      <c r="E225" s="207"/>
      <c r="F225" s="208">
        <v>15</v>
      </c>
      <c r="G225" s="207" t="s">
        <v>141</v>
      </c>
      <c r="H225" s="207" t="s">
        <v>98</v>
      </c>
      <c r="I225" s="207" t="s">
        <v>354</v>
      </c>
      <c r="J225" s="450">
        <v>178.35</v>
      </c>
      <c r="K225" s="450">
        <f t="shared" si="45"/>
        <v>178.35</v>
      </c>
      <c r="L225" s="550"/>
      <c r="M225" s="416">
        <v>45292</v>
      </c>
      <c r="N225" s="416"/>
      <c r="O225" s="206" t="e">
        <f t="shared" si="46"/>
        <v>#DIV/0!</v>
      </c>
      <c r="P225" s="450">
        <v>173.96</v>
      </c>
      <c r="Q225" s="450">
        <f t="shared" si="47"/>
        <v>173.96</v>
      </c>
      <c r="R225" s="136"/>
      <c r="T225" s="78">
        <v>172.24</v>
      </c>
      <c r="U225" s="78">
        <v>172.24</v>
      </c>
    </row>
    <row r="226" spans="1:21" s="132" customFormat="1">
      <c r="A226" s="512"/>
      <c r="B226" s="203"/>
      <c r="C226" s="206">
        <v>10.83</v>
      </c>
      <c r="D226" s="207">
        <v>1</v>
      </c>
      <c r="E226" s="207"/>
      <c r="F226" s="208">
        <v>15</v>
      </c>
      <c r="G226" s="207" t="s">
        <v>141</v>
      </c>
      <c r="H226" s="207" t="s">
        <v>98</v>
      </c>
      <c r="I226" s="207" t="s">
        <v>354</v>
      </c>
      <c r="J226" s="448"/>
      <c r="K226" s="448">
        <f t="shared" si="45"/>
        <v>0</v>
      </c>
      <c r="L226" s="552"/>
      <c r="M226" s="160">
        <v>44927</v>
      </c>
      <c r="N226" s="160"/>
      <c r="O226" s="206">
        <v>10.83</v>
      </c>
      <c r="P226" s="448"/>
      <c r="Q226" s="448">
        <f t="shared" si="47"/>
        <v>0</v>
      </c>
      <c r="R226" s="140"/>
      <c r="T226" s="78">
        <v>218.42</v>
      </c>
      <c r="U226" s="78">
        <v>218.42</v>
      </c>
    </row>
    <row r="227" spans="1:21">
      <c r="A227" s="512"/>
      <c r="B227" s="203" t="s">
        <v>653</v>
      </c>
      <c r="C227" s="206">
        <f t="shared" si="44"/>
        <v>13.110000000000001</v>
      </c>
      <c r="D227" s="207">
        <v>1</v>
      </c>
      <c r="E227" s="207"/>
      <c r="F227" s="208">
        <v>15</v>
      </c>
      <c r="G227" s="207" t="s">
        <v>141</v>
      </c>
      <c r="H227" s="207" t="s">
        <v>98</v>
      </c>
      <c r="I227" s="207" t="s">
        <v>354</v>
      </c>
      <c r="J227" s="450">
        <v>196.65</v>
      </c>
      <c r="K227" s="450">
        <f t="shared" si="45"/>
        <v>196.65</v>
      </c>
      <c r="L227" s="550"/>
      <c r="M227" s="416">
        <v>45292</v>
      </c>
      <c r="N227" s="416"/>
      <c r="O227" s="206" t="e">
        <f t="shared" si="46"/>
        <v>#DIV/0!</v>
      </c>
      <c r="P227" s="450">
        <v>191.47</v>
      </c>
      <c r="Q227" s="450">
        <f t="shared" si="47"/>
        <v>191.47</v>
      </c>
      <c r="R227" s="136"/>
      <c r="T227" s="78">
        <v>189.57</v>
      </c>
      <c r="U227" s="78">
        <v>189.57</v>
      </c>
    </row>
    <row r="228" spans="1:21" s="132" customFormat="1">
      <c r="A228" s="512"/>
      <c r="B228" s="203"/>
      <c r="C228" s="206">
        <v>13.73</v>
      </c>
      <c r="D228" s="207">
        <v>1</v>
      </c>
      <c r="E228" s="207"/>
      <c r="F228" s="208">
        <v>15</v>
      </c>
      <c r="G228" s="207" t="s">
        <v>141</v>
      </c>
      <c r="H228" s="207" t="s">
        <v>98</v>
      </c>
      <c r="I228" s="207" t="s">
        <v>354</v>
      </c>
      <c r="J228" s="448"/>
      <c r="K228" s="448">
        <f t="shared" si="45"/>
        <v>0</v>
      </c>
      <c r="L228" s="552"/>
      <c r="M228" s="160">
        <v>44927</v>
      </c>
      <c r="N228" s="160"/>
      <c r="O228" s="206">
        <v>13.73</v>
      </c>
      <c r="P228" s="448"/>
      <c r="Q228" s="448">
        <f t="shared" si="47"/>
        <v>0</v>
      </c>
      <c r="R228" s="140"/>
      <c r="T228" s="78">
        <v>218.42</v>
      </c>
      <c r="U228" s="78">
        <v>218.42</v>
      </c>
    </row>
    <row r="229" spans="1:21">
      <c r="A229" s="512"/>
      <c r="B229" s="203" t="s">
        <v>654</v>
      </c>
      <c r="C229" s="206">
        <f t="shared" si="44"/>
        <v>19.43933333333333</v>
      </c>
      <c r="D229" s="207">
        <v>1</v>
      </c>
      <c r="E229" s="207"/>
      <c r="F229" s="208">
        <v>15</v>
      </c>
      <c r="G229" s="207" t="s">
        <v>141</v>
      </c>
      <c r="H229" s="207" t="s">
        <v>98</v>
      </c>
      <c r="I229" s="207" t="s">
        <v>354</v>
      </c>
      <c r="J229" s="450">
        <v>291.58999999999997</v>
      </c>
      <c r="K229" s="450">
        <f t="shared" si="45"/>
        <v>291.58999999999997</v>
      </c>
      <c r="L229" s="550"/>
      <c r="M229" s="416">
        <v>45292</v>
      </c>
      <c r="N229" s="416"/>
      <c r="O229" s="206" t="e">
        <f t="shared" si="46"/>
        <v>#DIV/0!</v>
      </c>
      <c r="P229" s="450">
        <v>216.75</v>
      </c>
      <c r="Q229" s="450">
        <f t="shared" si="47"/>
        <v>216.75</v>
      </c>
      <c r="R229" s="136"/>
      <c r="T229" s="78">
        <v>214.61</v>
      </c>
      <c r="U229" s="78">
        <v>214.61</v>
      </c>
    </row>
    <row r="230" spans="1:21" s="132" customFormat="1">
      <c r="A230" s="512"/>
      <c r="B230" s="203"/>
      <c r="C230" s="206">
        <v>15.2</v>
      </c>
      <c r="D230" s="207">
        <v>1</v>
      </c>
      <c r="E230" s="207"/>
      <c r="F230" s="208">
        <v>15</v>
      </c>
      <c r="G230" s="207" t="s">
        <v>141</v>
      </c>
      <c r="H230" s="207" t="s">
        <v>98</v>
      </c>
      <c r="I230" s="207" t="s">
        <v>354</v>
      </c>
      <c r="J230" s="448"/>
      <c r="K230" s="448">
        <f t="shared" si="45"/>
        <v>0</v>
      </c>
      <c r="L230" s="552"/>
      <c r="M230" s="160">
        <v>44927</v>
      </c>
      <c r="N230" s="160"/>
      <c r="O230" s="206">
        <v>15.2</v>
      </c>
      <c r="P230" s="448"/>
      <c r="Q230" s="448">
        <f t="shared" si="47"/>
        <v>0</v>
      </c>
      <c r="R230" s="140"/>
      <c r="T230" s="78">
        <v>241.83</v>
      </c>
      <c r="U230" s="78">
        <v>241.83</v>
      </c>
    </row>
    <row r="231" spans="1:21">
      <c r="A231" s="512"/>
      <c r="B231" s="203" t="s">
        <v>655</v>
      </c>
      <c r="C231" s="206">
        <f t="shared" si="44"/>
        <v>19.239333333333331</v>
      </c>
      <c r="D231" s="207">
        <v>1</v>
      </c>
      <c r="E231" s="207"/>
      <c r="F231" s="208">
        <v>15</v>
      </c>
      <c r="G231" s="207" t="s">
        <v>141</v>
      </c>
      <c r="H231" s="207" t="s">
        <v>98</v>
      </c>
      <c r="I231" s="207" t="s">
        <v>354</v>
      </c>
      <c r="J231" s="450">
        <v>288.58999999999997</v>
      </c>
      <c r="K231" s="450">
        <f t="shared" si="45"/>
        <v>288.58999999999997</v>
      </c>
      <c r="L231" s="550"/>
      <c r="M231" s="416">
        <v>45292</v>
      </c>
      <c r="N231" s="416"/>
      <c r="O231" s="206" t="e">
        <f t="shared" si="46"/>
        <v>#DIV/0!</v>
      </c>
      <c r="P231" s="450">
        <v>281.55</v>
      </c>
      <c r="Q231" s="450">
        <f t="shared" si="47"/>
        <v>281.55</v>
      </c>
      <c r="R231" s="136"/>
      <c r="T231" s="78">
        <v>281.55</v>
      </c>
      <c r="U231" s="78">
        <v>281.55</v>
      </c>
    </row>
    <row r="232" spans="1:21" s="132" customFormat="1">
      <c r="A232" s="512"/>
      <c r="B232" s="203"/>
      <c r="C232" s="206">
        <v>15.2</v>
      </c>
      <c r="D232" s="207">
        <v>1</v>
      </c>
      <c r="E232" s="207"/>
      <c r="F232" s="208">
        <v>15</v>
      </c>
      <c r="G232" s="207" t="s">
        <v>141</v>
      </c>
      <c r="H232" s="207" t="s">
        <v>98</v>
      </c>
      <c r="I232" s="207" t="s">
        <v>354</v>
      </c>
      <c r="J232" s="448"/>
      <c r="K232" s="448">
        <f t="shared" si="45"/>
        <v>0</v>
      </c>
      <c r="L232" s="552"/>
      <c r="M232" s="160">
        <v>44927</v>
      </c>
      <c r="N232" s="160"/>
      <c r="O232" s="206">
        <v>15.2</v>
      </c>
      <c r="P232" s="448"/>
      <c r="Q232" s="448">
        <f t="shared" si="47"/>
        <v>0</v>
      </c>
      <c r="R232" s="140"/>
      <c r="T232" s="78">
        <v>241.83</v>
      </c>
      <c r="U232" s="78">
        <v>241.83</v>
      </c>
    </row>
    <row r="233" spans="1:21">
      <c r="A233" s="512"/>
      <c r="B233" s="203" t="s">
        <v>656</v>
      </c>
      <c r="C233" s="206">
        <f t="shared" si="44"/>
        <v>24.083333333333332</v>
      </c>
      <c r="D233" s="207">
        <v>1</v>
      </c>
      <c r="E233" s="207"/>
      <c r="F233" s="208">
        <v>15</v>
      </c>
      <c r="G233" s="207" t="s">
        <v>141</v>
      </c>
      <c r="H233" s="207" t="s">
        <v>98</v>
      </c>
      <c r="I233" s="207" t="s">
        <v>354</v>
      </c>
      <c r="J233" s="450">
        <v>361.25</v>
      </c>
      <c r="K233" s="450">
        <f t="shared" si="45"/>
        <v>361.25</v>
      </c>
      <c r="L233" s="550"/>
      <c r="M233" s="416">
        <v>45292</v>
      </c>
      <c r="N233" s="416"/>
      <c r="O233" s="206" t="e">
        <f t="shared" si="46"/>
        <v>#DIV/0!</v>
      </c>
      <c r="P233" s="450">
        <v>352.68</v>
      </c>
      <c r="Q233" s="450">
        <f t="shared" si="47"/>
        <v>352.68</v>
      </c>
      <c r="R233" s="136"/>
      <c r="T233" s="78">
        <v>349.19</v>
      </c>
      <c r="U233" s="78">
        <v>349.19</v>
      </c>
    </row>
    <row r="234" spans="1:21">
      <c r="A234" s="512"/>
      <c r="B234" s="203" t="s">
        <v>657</v>
      </c>
      <c r="C234" s="206">
        <f t="shared" si="44"/>
        <v>14.787666666666667</v>
      </c>
      <c r="D234" s="207">
        <v>1</v>
      </c>
      <c r="E234" s="207"/>
      <c r="F234" s="208">
        <v>30</v>
      </c>
      <c r="G234" s="207" t="s">
        <v>141</v>
      </c>
      <c r="H234" s="207" t="s">
        <v>98</v>
      </c>
      <c r="I234" s="207" t="s">
        <v>354</v>
      </c>
      <c r="J234" s="447">
        <v>443.63</v>
      </c>
      <c r="K234" s="450">
        <f t="shared" si="45"/>
        <v>443.63</v>
      </c>
      <c r="L234" s="550"/>
      <c r="M234" s="416">
        <v>45292</v>
      </c>
      <c r="N234" s="416"/>
      <c r="O234" s="206" t="e">
        <f t="shared" si="46"/>
        <v>#DIV/0!</v>
      </c>
      <c r="P234" s="447">
        <v>432.29</v>
      </c>
      <c r="Q234" s="450">
        <f t="shared" si="47"/>
        <v>432.29</v>
      </c>
      <c r="R234" s="136"/>
      <c r="T234" s="78">
        <v>428.01</v>
      </c>
      <c r="U234" s="78">
        <v>428.01</v>
      </c>
    </row>
    <row r="235" spans="1:21">
      <c r="A235" s="512"/>
      <c r="B235" s="203" t="s">
        <v>658</v>
      </c>
      <c r="C235" s="206">
        <f t="shared" si="44"/>
        <v>11.628333333333334</v>
      </c>
      <c r="D235" s="207">
        <v>1</v>
      </c>
      <c r="E235" s="207"/>
      <c r="F235" s="208">
        <v>30</v>
      </c>
      <c r="G235" s="207" t="s">
        <v>141</v>
      </c>
      <c r="H235" s="207" t="s">
        <v>98</v>
      </c>
      <c r="I235" s="207" t="s">
        <v>351</v>
      </c>
      <c r="J235" s="447">
        <v>348.85</v>
      </c>
      <c r="K235" s="450">
        <f t="shared" si="45"/>
        <v>348.85</v>
      </c>
      <c r="L235" s="550"/>
      <c r="M235" s="416">
        <v>45292</v>
      </c>
      <c r="N235" s="416"/>
      <c r="O235" s="206" t="e">
        <f t="shared" si="46"/>
        <v>#DIV/0!</v>
      </c>
      <c r="P235" s="447">
        <v>339.9</v>
      </c>
      <c r="Q235" s="450">
        <f t="shared" si="47"/>
        <v>339.9</v>
      </c>
      <c r="R235" s="136"/>
      <c r="T235" s="78">
        <v>336.54</v>
      </c>
      <c r="U235" s="78">
        <v>336.54</v>
      </c>
    </row>
    <row r="236" spans="1:21">
      <c r="A236" s="512"/>
      <c r="B236" s="119" t="s">
        <v>359</v>
      </c>
      <c r="C236" s="120" t="s">
        <v>98</v>
      </c>
      <c r="D236" s="120" t="s">
        <v>98</v>
      </c>
      <c r="E236" s="120"/>
      <c r="F236" s="121" t="s">
        <v>98</v>
      </c>
      <c r="G236" s="120" t="s">
        <v>98</v>
      </c>
      <c r="H236" s="120" t="s">
        <v>98</v>
      </c>
      <c r="I236" s="120" t="s">
        <v>98</v>
      </c>
      <c r="J236" s="131" t="str">
        <f t="shared" ref="J236:J251" si="48">I236</f>
        <v>-</v>
      </c>
      <c r="K236" s="120" t="s">
        <v>98</v>
      </c>
      <c r="L236" s="542"/>
      <c r="O236" s="120" t="s">
        <v>98</v>
      </c>
      <c r="P236" s="131" t="str">
        <f t="shared" ref="P236" si="49">O236</f>
        <v>-</v>
      </c>
      <c r="Q236" s="120" t="s">
        <v>98</v>
      </c>
      <c r="R236" s="137"/>
      <c r="T236" s="78" t="s">
        <v>98</v>
      </c>
      <c r="U236" s="78" t="s">
        <v>98</v>
      </c>
    </row>
    <row r="237" spans="1:21">
      <c r="A237" s="512"/>
      <c r="B237" s="203" t="s">
        <v>659</v>
      </c>
      <c r="C237" s="206">
        <f t="shared" ref="C237:C250" si="50">K237/F237</f>
        <v>17.837599999999998</v>
      </c>
      <c r="D237" s="207">
        <v>1</v>
      </c>
      <c r="E237" s="207"/>
      <c r="F237" s="208">
        <v>25</v>
      </c>
      <c r="G237" s="207" t="s">
        <v>141</v>
      </c>
      <c r="H237" s="207" t="s">
        <v>98</v>
      </c>
      <c r="I237" s="207" t="s">
        <v>351</v>
      </c>
      <c r="J237" s="447">
        <v>445.94</v>
      </c>
      <c r="K237" s="447">
        <f>J237</f>
        <v>445.94</v>
      </c>
      <c r="L237" s="544"/>
      <c r="M237" s="416">
        <v>45292</v>
      </c>
      <c r="N237" s="416"/>
      <c r="O237" s="206" t="e">
        <f t="shared" ref="O237:O250" si="51">W237/R237</f>
        <v>#DIV/0!</v>
      </c>
      <c r="P237" s="447">
        <v>434.91</v>
      </c>
      <c r="Q237" s="447">
        <f>P237</f>
        <v>434.91</v>
      </c>
      <c r="R237" s="136"/>
      <c r="T237" s="78">
        <v>430.60380000000004</v>
      </c>
      <c r="U237" s="78">
        <v>430.60380000000004</v>
      </c>
    </row>
    <row r="238" spans="1:21">
      <c r="A238" s="512"/>
      <c r="B238" s="203" t="s">
        <v>660</v>
      </c>
      <c r="C238" s="206">
        <f t="shared" si="50"/>
        <v>17.837599999999998</v>
      </c>
      <c r="D238" s="207">
        <v>1</v>
      </c>
      <c r="E238" s="207"/>
      <c r="F238" s="208">
        <v>25</v>
      </c>
      <c r="G238" s="207" t="s">
        <v>141</v>
      </c>
      <c r="H238" s="207" t="s">
        <v>98</v>
      </c>
      <c r="I238" s="207" t="s">
        <v>351</v>
      </c>
      <c r="J238" s="447">
        <v>445.94</v>
      </c>
      <c r="K238" s="447">
        <f t="shared" ref="K238:K240" si="52">J238</f>
        <v>445.94</v>
      </c>
      <c r="L238" s="544"/>
      <c r="M238" s="416">
        <v>45292</v>
      </c>
      <c r="N238" s="416"/>
      <c r="O238" s="206" t="e">
        <f t="shared" si="51"/>
        <v>#DIV/0!</v>
      </c>
      <c r="P238" s="447">
        <v>434.91</v>
      </c>
      <c r="Q238" s="447">
        <f t="shared" ref="Q238:Q240" si="53">P238</f>
        <v>434.91</v>
      </c>
      <c r="R238" s="136"/>
      <c r="T238" s="78">
        <v>430.60380000000004</v>
      </c>
      <c r="U238" s="78">
        <v>430.60380000000004</v>
      </c>
    </row>
    <row r="239" spans="1:21">
      <c r="A239" s="512"/>
      <c r="B239" s="203" t="s">
        <v>661</v>
      </c>
      <c r="C239" s="206">
        <f t="shared" si="50"/>
        <v>21.135200000000001</v>
      </c>
      <c r="D239" s="207">
        <v>1</v>
      </c>
      <c r="E239" s="207"/>
      <c r="F239" s="208">
        <v>25</v>
      </c>
      <c r="G239" s="207" t="s">
        <v>141</v>
      </c>
      <c r="H239" s="207" t="s">
        <v>98</v>
      </c>
      <c r="I239" s="207" t="s">
        <v>351</v>
      </c>
      <c r="J239" s="447">
        <v>528.38</v>
      </c>
      <c r="K239" s="447">
        <f t="shared" si="52"/>
        <v>528.38</v>
      </c>
      <c r="L239" s="544"/>
      <c r="M239" s="416">
        <v>45292</v>
      </c>
      <c r="N239" s="416"/>
      <c r="O239" s="206" t="e">
        <f t="shared" si="51"/>
        <v>#DIV/0!</v>
      </c>
      <c r="P239" s="447">
        <v>515.28</v>
      </c>
      <c r="Q239" s="447">
        <f t="shared" si="53"/>
        <v>515.28</v>
      </c>
      <c r="R239" s="136"/>
      <c r="T239" s="78">
        <v>510.17800000000005</v>
      </c>
      <c r="U239" s="78">
        <v>510.17800000000005</v>
      </c>
    </row>
    <row r="240" spans="1:21">
      <c r="A240" s="512"/>
      <c r="B240" s="203" t="s">
        <v>662</v>
      </c>
      <c r="C240" s="206">
        <f t="shared" si="50"/>
        <v>21.135200000000001</v>
      </c>
      <c r="D240" s="207">
        <v>1</v>
      </c>
      <c r="E240" s="207"/>
      <c r="F240" s="208">
        <v>25</v>
      </c>
      <c r="G240" s="207" t="s">
        <v>141</v>
      </c>
      <c r="H240" s="207" t="s">
        <v>98</v>
      </c>
      <c r="I240" s="207" t="s">
        <v>351</v>
      </c>
      <c r="J240" s="447">
        <v>528.38</v>
      </c>
      <c r="K240" s="447">
        <f t="shared" si="52"/>
        <v>528.38</v>
      </c>
      <c r="L240" s="544"/>
      <c r="M240" s="416">
        <v>45292</v>
      </c>
      <c r="N240" s="416"/>
      <c r="O240" s="206" t="e">
        <f t="shared" si="51"/>
        <v>#DIV/0!</v>
      </c>
      <c r="P240" s="447">
        <v>515.28</v>
      </c>
      <c r="Q240" s="447">
        <f t="shared" si="53"/>
        <v>515.28</v>
      </c>
      <c r="R240" s="136"/>
      <c r="T240" s="78">
        <v>510.17800000000005</v>
      </c>
      <c r="U240" s="78">
        <v>510.17800000000005</v>
      </c>
    </row>
    <row r="241" spans="1:21">
      <c r="A241" s="512"/>
      <c r="B241" s="203" t="s">
        <v>663</v>
      </c>
      <c r="C241" s="206">
        <f t="shared" si="50"/>
        <v>6.3170666666666664</v>
      </c>
      <c r="D241" s="207">
        <v>1</v>
      </c>
      <c r="E241" s="207"/>
      <c r="F241" s="208">
        <v>37.5</v>
      </c>
      <c r="G241" s="207" t="s">
        <v>141</v>
      </c>
      <c r="H241" s="207" t="s">
        <v>98</v>
      </c>
      <c r="I241" s="207" t="s">
        <v>351</v>
      </c>
      <c r="J241" s="447">
        <v>236.89</v>
      </c>
      <c r="K241" s="447">
        <f>J241</f>
        <v>236.89</v>
      </c>
      <c r="L241" s="544"/>
      <c r="M241" s="416">
        <v>45292</v>
      </c>
      <c r="N241" s="416"/>
      <c r="O241" s="206" t="e">
        <f t="shared" si="51"/>
        <v>#DIV/0!</v>
      </c>
      <c r="P241" s="447">
        <v>230.06</v>
      </c>
      <c r="Q241" s="447">
        <f>P241</f>
        <v>230.06</v>
      </c>
      <c r="R241" s="136"/>
      <c r="T241" s="78">
        <v>227.78</v>
      </c>
      <c r="U241" s="78">
        <v>227.78</v>
      </c>
    </row>
    <row r="242" spans="1:21">
      <c r="A242" s="512"/>
      <c r="B242" s="203" t="s">
        <v>664</v>
      </c>
      <c r="C242" s="206">
        <f t="shared" si="50"/>
        <v>1.98072</v>
      </c>
      <c r="D242" s="207">
        <v>1</v>
      </c>
      <c r="E242" s="207"/>
      <c r="F242" s="208">
        <v>125</v>
      </c>
      <c r="G242" s="207" t="s">
        <v>141</v>
      </c>
      <c r="H242" s="207" t="s">
        <v>98</v>
      </c>
      <c r="I242" s="207" t="s">
        <v>351</v>
      </c>
      <c r="J242" s="447">
        <v>247.59</v>
      </c>
      <c r="K242" s="447">
        <f t="shared" ref="K242:K255" si="54">J242</f>
        <v>247.59</v>
      </c>
      <c r="L242" s="544"/>
      <c r="M242" s="416">
        <v>45292</v>
      </c>
      <c r="N242" s="416"/>
      <c r="O242" s="206" t="e">
        <f t="shared" si="51"/>
        <v>#DIV/0!</v>
      </c>
      <c r="P242" s="447">
        <v>241.16</v>
      </c>
      <c r="Q242" s="447">
        <f t="shared" ref="Q242:Q250" si="55">P242</f>
        <v>241.16</v>
      </c>
      <c r="R242" s="136"/>
      <c r="T242" s="78">
        <v>238.78</v>
      </c>
      <c r="U242" s="78">
        <v>238.78</v>
      </c>
    </row>
    <row r="243" spans="1:21">
      <c r="A243" s="512"/>
      <c r="B243" s="203" t="s">
        <v>665</v>
      </c>
      <c r="C243" s="206">
        <f t="shared" si="50"/>
        <v>4.9984000000000002</v>
      </c>
      <c r="D243" s="207">
        <v>1</v>
      </c>
      <c r="E243" s="207"/>
      <c r="F243" s="208">
        <v>50</v>
      </c>
      <c r="G243" s="207" t="s">
        <v>141</v>
      </c>
      <c r="H243" s="207" t="s">
        <v>98</v>
      </c>
      <c r="I243" s="207" t="s">
        <v>351</v>
      </c>
      <c r="J243" s="447">
        <v>249.92</v>
      </c>
      <c r="K243" s="447">
        <f t="shared" si="54"/>
        <v>249.92</v>
      </c>
      <c r="L243" s="544"/>
      <c r="M243" s="416">
        <v>45292</v>
      </c>
      <c r="N243" s="416"/>
      <c r="O243" s="206" t="e">
        <f t="shared" si="51"/>
        <v>#DIV/0!</v>
      </c>
      <c r="P243" s="447">
        <v>243.43</v>
      </c>
      <c r="Q243" s="447">
        <f t="shared" si="55"/>
        <v>243.43</v>
      </c>
      <c r="R243" s="136"/>
      <c r="T243" s="78">
        <v>241.02</v>
      </c>
      <c r="U243" s="78">
        <v>241.02</v>
      </c>
    </row>
    <row r="244" spans="1:21">
      <c r="A244" s="512"/>
      <c r="B244" s="203" t="s">
        <v>666</v>
      </c>
      <c r="C244" s="206">
        <f t="shared" si="50"/>
        <v>7.8541999999999996</v>
      </c>
      <c r="D244" s="207">
        <v>1</v>
      </c>
      <c r="E244" s="207"/>
      <c r="F244" s="208">
        <v>50</v>
      </c>
      <c r="G244" s="207" t="s">
        <v>141</v>
      </c>
      <c r="H244" s="207" t="s">
        <v>98</v>
      </c>
      <c r="I244" s="207" t="s">
        <v>351</v>
      </c>
      <c r="J244" s="447">
        <v>392.71</v>
      </c>
      <c r="K244" s="447">
        <f t="shared" si="54"/>
        <v>392.71</v>
      </c>
      <c r="L244" s="544"/>
      <c r="M244" s="416">
        <v>45383</v>
      </c>
      <c r="N244" s="416"/>
      <c r="O244" s="206" t="e">
        <f t="shared" si="51"/>
        <v>#DIV/0!</v>
      </c>
      <c r="P244" s="447">
        <v>382.74</v>
      </c>
      <c r="Q244" s="447">
        <f t="shared" si="55"/>
        <v>382.74</v>
      </c>
      <c r="R244" s="136"/>
      <c r="T244" s="78">
        <v>473.8306</v>
      </c>
      <c r="U244" s="78">
        <v>473.8306</v>
      </c>
    </row>
    <row r="245" spans="1:21">
      <c r="A245" s="512"/>
      <c r="B245" s="203" t="s">
        <v>667</v>
      </c>
      <c r="C245" s="206">
        <f t="shared" si="50"/>
        <v>11.403040000000001</v>
      </c>
      <c r="D245" s="207">
        <v>1</v>
      </c>
      <c r="E245" s="207"/>
      <c r="F245" s="208">
        <v>62.5</v>
      </c>
      <c r="G245" s="207" t="s">
        <v>141</v>
      </c>
      <c r="H245" s="207" t="s">
        <v>98</v>
      </c>
      <c r="I245" s="207" t="s">
        <v>351</v>
      </c>
      <c r="J245" s="447">
        <v>712.69</v>
      </c>
      <c r="K245" s="447">
        <f t="shared" si="54"/>
        <v>712.69</v>
      </c>
      <c r="L245" s="544"/>
      <c r="M245" s="416">
        <v>45292</v>
      </c>
      <c r="N245" s="416"/>
      <c r="O245" s="206" t="e">
        <f t="shared" si="51"/>
        <v>#DIV/0!</v>
      </c>
      <c r="P245" s="447">
        <v>695.25</v>
      </c>
      <c r="Q245" s="447">
        <f t="shared" si="55"/>
        <v>695.25</v>
      </c>
      <c r="R245" s="136"/>
      <c r="T245" s="78">
        <v>688.36400000000003</v>
      </c>
      <c r="U245" s="78">
        <v>688.36400000000003</v>
      </c>
    </row>
    <row r="246" spans="1:21">
      <c r="A246" s="512"/>
      <c r="B246" s="203" t="s">
        <v>984</v>
      </c>
      <c r="C246" s="206">
        <f t="shared" si="50"/>
        <v>32.457090909090908</v>
      </c>
      <c r="D246" s="207">
        <v>1</v>
      </c>
      <c r="E246" s="207"/>
      <c r="F246" s="208">
        <v>27.5</v>
      </c>
      <c r="G246" s="207" t="s">
        <v>141</v>
      </c>
      <c r="H246" s="207" t="s">
        <v>98</v>
      </c>
      <c r="I246" s="207" t="s">
        <v>351</v>
      </c>
      <c r="J246" s="447">
        <v>892.57</v>
      </c>
      <c r="K246" s="447">
        <f t="shared" si="54"/>
        <v>892.57</v>
      </c>
      <c r="L246" s="544"/>
      <c r="M246" s="416">
        <v>45292</v>
      </c>
      <c r="N246" s="416"/>
      <c r="O246" s="206" t="e">
        <f t="shared" si="51"/>
        <v>#DIV/0!</v>
      </c>
      <c r="P246" s="447">
        <v>870.47</v>
      </c>
      <c r="Q246" s="447">
        <f t="shared" si="55"/>
        <v>870.47</v>
      </c>
      <c r="R246" s="136"/>
      <c r="T246" s="78">
        <v>861.85420000000011</v>
      </c>
      <c r="U246" s="78">
        <v>861.85420000000011</v>
      </c>
    </row>
    <row r="247" spans="1:21">
      <c r="A247" s="512"/>
      <c r="B247" s="203" t="s">
        <v>669</v>
      </c>
      <c r="C247" s="206">
        <f>K247/F247</f>
        <v>27.272399999999998</v>
      </c>
      <c r="D247" s="207">
        <v>1</v>
      </c>
      <c r="E247" s="207"/>
      <c r="F247" s="208">
        <v>25</v>
      </c>
      <c r="G247" s="207" t="s">
        <v>141</v>
      </c>
      <c r="H247" s="207" t="s">
        <v>98</v>
      </c>
      <c r="I247" s="207" t="s">
        <v>351</v>
      </c>
      <c r="J247" s="447">
        <v>681.81</v>
      </c>
      <c r="K247" s="447">
        <f t="shared" si="54"/>
        <v>681.81</v>
      </c>
      <c r="L247" s="544"/>
      <c r="M247" s="416">
        <v>45292</v>
      </c>
      <c r="N247" s="416"/>
      <c r="O247" s="206" t="e">
        <f>W247/R247</f>
        <v>#DIV/0!</v>
      </c>
      <c r="P247" s="447">
        <v>663.91</v>
      </c>
      <c r="Q247" s="447">
        <f t="shared" si="55"/>
        <v>663.91</v>
      </c>
      <c r="R247" s="141"/>
      <c r="T247" s="78">
        <v>657.33780000000002</v>
      </c>
      <c r="U247" s="78">
        <v>657.33780000000002</v>
      </c>
    </row>
    <row r="248" spans="1:21">
      <c r="A248" s="512"/>
      <c r="B248" s="203" t="s">
        <v>670</v>
      </c>
      <c r="C248" s="206">
        <f t="shared" si="50"/>
        <v>4.6537500000000005</v>
      </c>
      <c r="D248" s="207">
        <v>1</v>
      </c>
      <c r="E248" s="207"/>
      <c r="F248" s="208">
        <v>40</v>
      </c>
      <c r="G248" s="207" t="s">
        <v>141</v>
      </c>
      <c r="H248" s="207" t="s">
        <v>98</v>
      </c>
      <c r="I248" s="207" t="s">
        <v>351</v>
      </c>
      <c r="J248" s="447">
        <v>186.15</v>
      </c>
      <c r="K248" s="447">
        <f t="shared" si="54"/>
        <v>186.15</v>
      </c>
      <c r="L248" s="544"/>
      <c r="M248" s="416">
        <v>45292</v>
      </c>
      <c r="N248" s="416"/>
      <c r="O248" s="206" t="e">
        <f t="shared" si="51"/>
        <v>#DIV/0!</v>
      </c>
      <c r="P248" s="447">
        <v>182.1</v>
      </c>
      <c r="Q248" s="447">
        <f t="shared" si="55"/>
        <v>182.1</v>
      </c>
      <c r="R248" s="136"/>
      <c r="T248" s="78">
        <v>180.2954</v>
      </c>
      <c r="U248" s="78">
        <v>180.2954</v>
      </c>
    </row>
    <row r="249" spans="1:21">
      <c r="A249" s="512"/>
      <c r="B249" s="203" t="s">
        <v>671</v>
      </c>
      <c r="C249" s="206">
        <f t="shared" si="50"/>
        <v>5.0953076923076921</v>
      </c>
      <c r="D249" s="207">
        <v>1</v>
      </c>
      <c r="E249" s="207"/>
      <c r="F249" s="208">
        <v>130</v>
      </c>
      <c r="G249" s="207" t="s">
        <v>141</v>
      </c>
      <c r="H249" s="207" t="s">
        <v>98</v>
      </c>
      <c r="I249" s="207" t="s">
        <v>351</v>
      </c>
      <c r="J249" s="447">
        <v>662.39</v>
      </c>
      <c r="K249" s="447">
        <f t="shared" si="54"/>
        <v>662.39</v>
      </c>
      <c r="L249" s="544"/>
      <c r="M249" s="416">
        <v>45292</v>
      </c>
      <c r="N249" s="416"/>
      <c r="O249" s="206" t="e">
        <f t="shared" si="51"/>
        <v>#DIV/0!</v>
      </c>
      <c r="P249" s="447">
        <v>644.65</v>
      </c>
      <c r="Q249" s="447">
        <f t="shared" si="55"/>
        <v>644.65</v>
      </c>
      <c r="R249" s="136"/>
      <c r="T249" s="78">
        <v>638.26840000000004</v>
      </c>
      <c r="U249" s="78">
        <v>638.26840000000004</v>
      </c>
    </row>
    <row r="250" spans="1:21">
      <c r="A250" s="512"/>
      <c r="B250" s="203" t="s">
        <v>672</v>
      </c>
      <c r="C250" s="206">
        <f t="shared" si="50"/>
        <v>5.1072799999999994</v>
      </c>
      <c r="D250" s="207">
        <v>1</v>
      </c>
      <c r="E250" s="207"/>
      <c r="F250" s="208">
        <v>125</v>
      </c>
      <c r="G250" s="207" t="s">
        <v>141</v>
      </c>
      <c r="H250" s="207" t="s">
        <v>98</v>
      </c>
      <c r="I250" s="207" t="s">
        <v>351</v>
      </c>
      <c r="J250" s="447">
        <v>638.41</v>
      </c>
      <c r="K250" s="447">
        <f t="shared" si="54"/>
        <v>638.41</v>
      </c>
      <c r="L250" s="544"/>
      <c r="M250" s="416">
        <v>45292</v>
      </c>
      <c r="N250" s="416"/>
      <c r="O250" s="206" t="e">
        <f t="shared" si="51"/>
        <v>#DIV/0!</v>
      </c>
      <c r="P250" s="447">
        <v>621.76</v>
      </c>
      <c r="Q250" s="447">
        <f t="shared" si="55"/>
        <v>621.76</v>
      </c>
      <c r="R250" s="136"/>
      <c r="T250" s="78">
        <v>615.60559999999998</v>
      </c>
      <c r="U250" s="78">
        <v>615.60559999999998</v>
      </c>
    </row>
    <row r="251" spans="1:21">
      <c r="A251" s="512"/>
      <c r="B251" s="110" t="s">
        <v>98</v>
      </c>
      <c r="C251" s="71" t="s">
        <v>98</v>
      </c>
      <c r="D251" s="71" t="s">
        <v>98</v>
      </c>
      <c r="E251" s="71"/>
      <c r="F251" s="93" t="s">
        <v>98</v>
      </c>
      <c r="G251" s="71" t="s">
        <v>98</v>
      </c>
      <c r="H251" s="71" t="s">
        <v>98</v>
      </c>
      <c r="I251" s="71" t="s">
        <v>98</v>
      </c>
      <c r="J251" s="131" t="str">
        <f t="shared" si="48"/>
        <v>-</v>
      </c>
      <c r="K251" s="71" t="s">
        <v>98</v>
      </c>
      <c r="O251" s="71" t="s">
        <v>98</v>
      </c>
      <c r="P251" s="131" t="str">
        <f t="shared" ref="P251" si="56">O251</f>
        <v>-</v>
      </c>
      <c r="Q251" s="71" t="s">
        <v>98</v>
      </c>
      <c r="R251" s="78"/>
      <c r="T251" s="78" t="s">
        <v>98</v>
      </c>
      <c r="U251" s="78" t="s">
        <v>98</v>
      </c>
    </row>
    <row r="252" spans="1:21">
      <c r="A252" s="512"/>
      <c r="B252" s="203" t="s">
        <v>673</v>
      </c>
      <c r="C252" s="206">
        <f>K252/F252</f>
        <v>11.150799999999998</v>
      </c>
      <c r="D252" s="207">
        <v>1</v>
      </c>
      <c r="E252" s="207"/>
      <c r="F252" s="208">
        <v>25</v>
      </c>
      <c r="G252" s="207" t="s">
        <v>141</v>
      </c>
      <c r="H252" s="207" t="s">
        <v>98</v>
      </c>
      <c r="I252" s="207" t="s">
        <v>351</v>
      </c>
      <c r="J252" s="447">
        <v>278.77</v>
      </c>
      <c r="K252" s="447">
        <f t="shared" si="54"/>
        <v>278.77</v>
      </c>
      <c r="L252" s="544"/>
      <c r="M252" s="416">
        <v>45292</v>
      </c>
      <c r="N252" s="416"/>
      <c r="O252" s="206" t="e">
        <f>W252/R252</f>
        <v>#DIV/0!</v>
      </c>
      <c r="P252" s="447">
        <v>271.83</v>
      </c>
      <c r="Q252" s="447">
        <f t="shared" ref="Q252:Q255" si="57">P252</f>
        <v>271.83</v>
      </c>
      <c r="R252" s="136"/>
      <c r="T252" s="78">
        <v>269.13400000000001</v>
      </c>
      <c r="U252" s="78">
        <v>269.13400000000001</v>
      </c>
    </row>
    <row r="253" spans="1:21">
      <c r="A253" s="512"/>
      <c r="B253" s="203" t="s">
        <v>674</v>
      </c>
      <c r="C253" s="206">
        <f>K253/F253</f>
        <v>12.7668</v>
      </c>
      <c r="D253" s="207">
        <v>1</v>
      </c>
      <c r="E253" s="207"/>
      <c r="F253" s="208">
        <v>25</v>
      </c>
      <c r="G253" s="207" t="s">
        <v>141</v>
      </c>
      <c r="H253" s="207" t="s">
        <v>98</v>
      </c>
      <c r="I253" s="207" t="s">
        <v>351</v>
      </c>
      <c r="J253" s="447">
        <v>319.17</v>
      </c>
      <c r="K253" s="447">
        <f t="shared" si="54"/>
        <v>319.17</v>
      </c>
      <c r="L253" s="544"/>
      <c r="M253" s="416">
        <v>45292</v>
      </c>
      <c r="N253" s="416"/>
      <c r="O253" s="206" t="e">
        <f>W253/R253</f>
        <v>#DIV/0!</v>
      </c>
      <c r="P253" s="447">
        <v>312.02</v>
      </c>
      <c r="Q253" s="447">
        <f t="shared" si="57"/>
        <v>312.02</v>
      </c>
      <c r="R253" s="136"/>
      <c r="T253" s="78">
        <v>308.9264</v>
      </c>
      <c r="U253" s="78">
        <v>308.9264</v>
      </c>
    </row>
    <row r="254" spans="1:21">
      <c r="A254" s="512"/>
      <c r="B254" s="203" t="s">
        <v>675</v>
      </c>
      <c r="C254" s="206">
        <f>K254/F254</f>
        <v>13.603199999999999</v>
      </c>
      <c r="D254" s="207">
        <v>1</v>
      </c>
      <c r="E254" s="207"/>
      <c r="F254" s="208">
        <v>25</v>
      </c>
      <c r="G254" s="207" t="s">
        <v>141</v>
      </c>
      <c r="H254" s="207" t="s">
        <v>98</v>
      </c>
      <c r="I254" s="207" t="s">
        <v>351</v>
      </c>
      <c r="J254" s="447">
        <v>340.08</v>
      </c>
      <c r="K254" s="447">
        <f t="shared" si="54"/>
        <v>340.08</v>
      </c>
      <c r="L254" s="544"/>
      <c r="M254" s="416">
        <v>45292</v>
      </c>
      <c r="N254" s="416"/>
      <c r="O254" s="206" t="e">
        <f>W254/R254</f>
        <v>#DIV/0!</v>
      </c>
      <c r="P254" s="447">
        <v>332.5</v>
      </c>
      <c r="Q254" s="447">
        <f t="shared" si="57"/>
        <v>332.5</v>
      </c>
      <c r="R254" s="136"/>
      <c r="T254" s="78">
        <v>329.20420000000001</v>
      </c>
      <c r="U254" s="78">
        <v>329.20420000000001</v>
      </c>
    </row>
    <row r="255" spans="1:21">
      <c r="A255" s="512"/>
      <c r="B255" s="203" t="s">
        <v>676</v>
      </c>
      <c r="C255" s="206">
        <f>K255/F255</f>
        <v>15.308399999999999</v>
      </c>
      <c r="D255" s="207">
        <v>1</v>
      </c>
      <c r="E255" s="207"/>
      <c r="F255" s="208">
        <v>25</v>
      </c>
      <c r="G255" s="207" t="s">
        <v>141</v>
      </c>
      <c r="H255" s="207" t="s">
        <v>98</v>
      </c>
      <c r="I255" s="207" t="s">
        <v>351</v>
      </c>
      <c r="J255" s="447">
        <v>382.71</v>
      </c>
      <c r="K255" s="447">
        <f t="shared" si="54"/>
        <v>382.71</v>
      </c>
      <c r="L255" s="544"/>
      <c r="M255" s="416">
        <v>45292</v>
      </c>
      <c r="N255" s="416"/>
      <c r="O255" s="206" t="e">
        <f>W255/R255</f>
        <v>#DIV/0!</v>
      </c>
      <c r="P255" s="447">
        <v>373.06</v>
      </c>
      <c r="Q255" s="447">
        <f t="shared" si="57"/>
        <v>373.06</v>
      </c>
      <c r="R255" s="136"/>
      <c r="T255" s="78">
        <v>369.36759999999998</v>
      </c>
      <c r="U255" s="78">
        <v>369.36759999999998</v>
      </c>
    </row>
    <row r="256" spans="1:21">
      <c r="O256" s="55"/>
      <c r="R256" s="78"/>
    </row>
    <row r="257" spans="1:21">
      <c r="A257" s="511" t="s">
        <v>312</v>
      </c>
      <c r="B257" s="188" t="s">
        <v>985</v>
      </c>
      <c r="C257" s="189">
        <f>K257/F257</f>
        <v>9.7714999999999996</v>
      </c>
      <c r="D257" s="190">
        <f>1.25*2.5</f>
        <v>3.125</v>
      </c>
      <c r="E257" s="190"/>
      <c r="F257" s="191">
        <v>20</v>
      </c>
      <c r="G257" s="190" t="s">
        <v>5</v>
      </c>
      <c r="H257" s="190">
        <v>720</v>
      </c>
      <c r="I257" s="190" t="s">
        <v>351</v>
      </c>
      <c r="J257" s="429">
        <v>211.05</v>
      </c>
      <c r="K257" s="429">
        <v>195.43</v>
      </c>
      <c r="L257" s="544"/>
      <c r="M257" s="416">
        <v>45292</v>
      </c>
      <c r="N257" s="416"/>
      <c r="O257" s="189" t="e">
        <f>W257/R257</f>
        <v>#DIV/0!</v>
      </c>
      <c r="P257" s="429">
        <v>205.71</v>
      </c>
      <c r="Q257" s="429">
        <v>190.48</v>
      </c>
      <c r="R257" s="136"/>
      <c r="T257" s="78">
        <v>106.83</v>
      </c>
      <c r="U257" s="78">
        <v>101.03</v>
      </c>
    </row>
    <row r="258" spans="1:21">
      <c r="A258" s="511"/>
      <c r="B258" s="188" t="s">
        <v>986</v>
      </c>
      <c r="C258" s="189">
        <f>K258/F258</f>
        <v>6.9793333333333329</v>
      </c>
      <c r="D258" s="190">
        <f>1.25*2.5</f>
        <v>3.125</v>
      </c>
      <c r="E258" s="190"/>
      <c r="F258" s="191">
        <v>15</v>
      </c>
      <c r="G258" s="190" t="s">
        <v>5</v>
      </c>
      <c r="H258" s="190">
        <v>600</v>
      </c>
      <c r="I258" s="190" t="s">
        <v>346</v>
      </c>
      <c r="J258" s="429">
        <v>113.07</v>
      </c>
      <c r="K258" s="429">
        <v>104.69</v>
      </c>
      <c r="L258" s="544"/>
      <c r="M258" s="416">
        <v>45292</v>
      </c>
      <c r="N258" s="416"/>
      <c r="O258" s="189" t="e">
        <f>W258/R258</f>
        <v>#DIV/0!</v>
      </c>
      <c r="P258" s="429">
        <v>110.2</v>
      </c>
      <c r="Q258" s="429">
        <v>102.04</v>
      </c>
      <c r="R258" s="136"/>
      <c r="T258" s="78">
        <v>106.83</v>
      </c>
      <c r="U258" s="78">
        <v>101.03</v>
      </c>
    </row>
    <row r="259" spans="1:21">
      <c r="A259" s="511"/>
      <c r="B259" s="188" t="s">
        <v>537</v>
      </c>
      <c r="C259" s="189">
        <f>K259/F259</f>
        <v>3.5288288288288294</v>
      </c>
      <c r="D259" s="190">
        <f>1.6*3</f>
        <v>4.8000000000000007</v>
      </c>
      <c r="E259" s="190"/>
      <c r="F259" s="191">
        <v>33.299999999999997</v>
      </c>
      <c r="G259" s="190" t="s">
        <v>5</v>
      </c>
      <c r="H259" s="190">
        <v>1998</v>
      </c>
      <c r="I259" s="190" t="s">
        <v>357</v>
      </c>
      <c r="J259" s="429">
        <v>126.91</v>
      </c>
      <c r="K259" s="429">
        <v>117.51</v>
      </c>
      <c r="L259" s="544"/>
      <c r="M259" s="416">
        <v>45292</v>
      </c>
      <c r="N259" s="416"/>
      <c r="O259" s="189" t="e">
        <f>W259/R259</f>
        <v>#DIV/0!</v>
      </c>
      <c r="P259" s="429">
        <v>184.06</v>
      </c>
      <c r="Q259" s="429">
        <v>170.43</v>
      </c>
      <c r="R259" s="136"/>
      <c r="T259" s="78">
        <v>176.76</v>
      </c>
      <c r="U259" s="78">
        <v>168.74</v>
      </c>
    </row>
    <row r="260" spans="1:21">
      <c r="A260" s="511"/>
      <c r="B260" s="188" t="s">
        <v>538</v>
      </c>
      <c r="C260" s="189">
        <f>K260/F260</f>
        <v>2.0936000000000003</v>
      </c>
      <c r="D260" s="190">
        <f>1.5*2</f>
        <v>3</v>
      </c>
      <c r="E260" s="190"/>
      <c r="F260" s="191">
        <v>25</v>
      </c>
      <c r="G260" s="190" t="s">
        <v>5</v>
      </c>
      <c r="H260" s="190">
        <v>600</v>
      </c>
      <c r="I260" s="190" t="s">
        <v>346</v>
      </c>
      <c r="J260" s="429">
        <v>56.53</v>
      </c>
      <c r="K260" s="429">
        <v>52.34</v>
      </c>
      <c r="L260" s="544"/>
      <c r="M260" s="416">
        <v>45292</v>
      </c>
      <c r="N260" s="416"/>
      <c r="O260" s="189" t="e">
        <f>W260/R260</f>
        <v>#DIV/0!</v>
      </c>
      <c r="P260" s="429">
        <v>55.1</v>
      </c>
      <c r="Q260" s="429">
        <v>51.02</v>
      </c>
      <c r="R260" s="136"/>
      <c r="T260" s="78">
        <v>53.26</v>
      </c>
      <c r="U260" s="78">
        <v>50.51</v>
      </c>
    </row>
    <row r="261" spans="1:21">
      <c r="A261" s="511"/>
      <c r="B261" s="188" t="s">
        <v>539</v>
      </c>
      <c r="C261" s="189">
        <f>K261/F261</f>
        <v>2.1459999999999999</v>
      </c>
      <c r="D261" s="190">
        <f>1.5*2</f>
        <v>3</v>
      </c>
      <c r="E261" s="190"/>
      <c r="F261" s="191">
        <v>25</v>
      </c>
      <c r="G261" s="190" t="s">
        <v>5</v>
      </c>
      <c r="H261" s="190">
        <v>600</v>
      </c>
      <c r="I261" s="190" t="s">
        <v>346</v>
      </c>
      <c r="J261" s="429">
        <v>57.94</v>
      </c>
      <c r="K261" s="429">
        <v>53.65</v>
      </c>
      <c r="L261" s="544"/>
      <c r="M261" s="416">
        <v>45292</v>
      </c>
      <c r="N261" s="416"/>
      <c r="O261" s="189" t="e">
        <f>W261/R261</f>
        <v>#DIV/0!</v>
      </c>
      <c r="P261" s="429">
        <v>56.47</v>
      </c>
      <c r="Q261" s="429">
        <v>52.29</v>
      </c>
      <c r="R261" s="136"/>
      <c r="T261" s="78">
        <v>54.81</v>
      </c>
      <c r="U261" s="78">
        <v>51.77</v>
      </c>
    </row>
    <row r="262" spans="1:21">
      <c r="A262" s="511"/>
      <c r="B262" s="108" t="s">
        <v>98</v>
      </c>
      <c r="C262" s="69" t="s">
        <v>98</v>
      </c>
      <c r="D262" s="69" t="s">
        <v>98</v>
      </c>
      <c r="E262" s="69"/>
      <c r="F262" s="90" t="s">
        <v>98</v>
      </c>
      <c r="G262" s="69" t="s">
        <v>98</v>
      </c>
      <c r="H262" s="69" t="s">
        <v>98</v>
      </c>
      <c r="I262" s="69" t="s">
        <v>98</v>
      </c>
      <c r="J262" s="69" t="s">
        <v>98</v>
      </c>
      <c r="K262" s="69" t="s">
        <v>98</v>
      </c>
      <c r="O262" s="69" t="s">
        <v>98</v>
      </c>
      <c r="P262" s="69" t="s">
        <v>98</v>
      </c>
      <c r="Q262" s="69" t="s">
        <v>98</v>
      </c>
      <c r="R262" s="78"/>
    </row>
    <row r="263" spans="1:21">
      <c r="A263" s="511"/>
      <c r="B263" s="188" t="s">
        <v>540</v>
      </c>
      <c r="C263" s="189">
        <f>K263/F263</f>
        <v>4.0836666666666668</v>
      </c>
      <c r="D263" s="190">
        <v>1</v>
      </c>
      <c r="E263" s="190"/>
      <c r="F263" s="191">
        <v>60</v>
      </c>
      <c r="G263" s="190" t="s">
        <v>141</v>
      </c>
      <c r="H263" s="190">
        <v>84</v>
      </c>
      <c r="I263" s="190" t="s">
        <v>351</v>
      </c>
      <c r="J263" s="451">
        <v>252.18</v>
      </c>
      <c r="K263" s="451">
        <v>245.02</v>
      </c>
      <c r="L263" s="550"/>
      <c r="M263" s="416">
        <v>45292</v>
      </c>
      <c r="N263" s="416"/>
      <c r="O263" s="189" t="e">
        <f>W263/R263</f>
        <v>#DIV/0!</v>
      </c>
      <c r="P263" s="451">
        <v>245.79</v>
      </c>
      <c r="Q263" s="451">
        <v>238.81</v>
      </c>
      <c r="R263" s="139"/>
      <c r="T263" s="78">
        <v>243.36</v>
      </c>
      <c r="U263" s="78">
        <v>236.45</v>
      </c>
    </row>
    <row r="264" spans="1:21">
      <c r="A264" s="511"/>
      <c r="B264" s="108" t="s">
        <v>98</v>
      </c>
      <c r="C264" s="69" t="s">
        <v>98</v>
      </c>
      <c r="D264" s="69" t="s">
        <v>98</v>
      </c>
      <c r="E264" s="69"/>
      <c r="F264" s="90" t="s">
        <v>98</v>
      </c>
      <c r="G264" s="69" t="s">
        <v>98</v>
      </c>
      <c r="H264" s="69" t="s">
        <v>98</v>
      </c>
      <c r="I264" s="69" t="s">
        <v>98</v>
      </c>
      <c r="J264" s="69" t="s">
        <v>98</v>
      </c>
      <c r="K264" s="69" t="s">
        <v>98</v>
      </c>
      <c r="O264" s="69" t="s">
        <v>98</v>
      </c>
      <c r="P264" s="69" t="s">
        <v>98</v>
      </c>
      <c r="Q264" s="69" t="s">
        <v>98</v>
      </c>
      <c r="R264" s="78"/>
    </row>
    <row r="265" spans="1:21">
      <c r="A265" s="77"/>
      <c r="B265" s="104"/>
      <c r="C265" s="78"/>
      <c r="D265" s="78"/>
      <c r="E265" s="78"/>
      <c r="F265" s="87"/>
      <c r="G265" s="78"/>
      <c r="J265" s="78"/>
      <c r="K265" s="78"/>
      <c r="O265" s="78"/>
      <c r="P265" s="78"/>
      <c r="Q265" s="78"/>
      <c r="R265" s="78"/>
    </row>
    <row r="266" spans="1:21">
      <c r="A266" s="511" t="s">
        <v>317</v>
      </c>
      <c r="B266" s="188" t="s">
        <v>677</v>
      </c>
      <c r="C266" s="196">
        <f>K266/F266</f>
        <v>0.2359</v>
      </c>
      <c r="D266" s="190">
        <v>6</v>
      </c>
      <c r="E266" s="190"/>
      <c r="F266" s="190">
        <v>100</v>
      </c>
      <c r="G266" s="190" t="s">
        <v>8</v>
      </c>
      <c r="H266" s="190" t="s">
        <v>98</v>
      </c>
      <c r="I266" s="209" t="s">
        <v>351</v>
      </c>
      <c r="J266" s="429">
        <v>23.59</v>
      </c>
      <c r="K266" s="429">
        <f>J266</f>
        <v>23.59</v>
      </c>
      <c r="L266" s="544"/>
      <c r="M266" s="416">
        <v>45292</v>
      </c>
      <c r="N266" s="416"/>
      <c r="O266" s="196" t="e">
        <f>W266/R266</f>
        <v>#DIV/0!</v>
      </c>
      <c r="P266" s="429">
        <v>22.99</v>
      </c>
      <c r="Q266" s="429">
        <f>P266</f>
        <v>22.99</v>
      </c>
      <c r="R266" s="141"/>
      <c r="T266" s="78">
        <v>22.758199999999999</v>
      </c>
      <c r="U266" s="78">
        <v>22.758199999999999</v>
      </c>
    </row>
    <row r="267" spans="1:21">
      <c r="A267" s="511"/>
      <c r="B267" s="188" t="s">
        <v>678</v>
      </c>
      <c r="C267" s="196">
        <f>K267/F267</f>
        <v>0.28739999999999999</v>
      </c>
      <c r="D267" s="190">
        <v>6</v>
      </c>
      <c r="E267" s="190"/>
      <c r="F267" s="190">
        <v>100</v>
      </c>
      <c r="G267" s="190" t="s">
        <v>8</v>
      </c>
      <c r="H267" s="190" t="s">
        <v>98</v>
      </c>
      <c r="I267" s="209" t="s">
        <v>351</v>
      </c>
      <c r="J267" s="429">
        <v>28.74</v>
      </c>
      <c r="K267" s="429">
        <f t="shared" ref="K267:K269" si="58">J267</f>
        <v>28.74</v>
      </c>
      <c r="L267" s="544"/>
      <c r="M267" s="416">
        <v>45292</v>
      </c>
      <c r="N267" s="416"/>
      <c r="O267" s="196" t="e">
        <f>W267/R267</f>
        <v>#DIV/0!</v>
      </c>
      <c r="P267" s="429">
        <v>28.04</v>
      </c>
      <c r="Q267" s="429">
        <f t="shared" ref="Q267:Q269" si="59">P267</f>
        <v>28.04</v>
      </c>
      <c r="R267" s="139"/>
      <c r="T267" s="78">
        <v>27.761400000000002</v>
      </c>
      <c r="U267" s="78">
        <v>27.761400000000002</v>
      </c>
    </row>
    <row r="268" spans="1:21">
      <c r="A268" s="511"/>
      <c r="B268" s="188" t="s">
        <v>679</v>
      </c>
      <c r="C268" s="196">
        <f>K268/F268</f>
        <v>0.46</v>
      </c>
      <c r="D268" s="190">
        <v>5.5</v>
      </c>
      <c r="E268" s="190"/>
      <c r="F268" s="190">
        <v>100</v>
      </c>
      <c r="G268" s="190" t="s">
        <v>8</v>
      </c>
      <c r="H268" s="190" t="s">
        <v>98</v>
      </c>
      <c r="I268" s="209" t="s">
        <v>351</v>
      </c>
      <c r="J268" s="429">
        <v>46</v>
      </c>
      <c r="K268" s="429">
        <f t="shared" si="58"/>
        <v>46</v>
      </c>
      <c r="L268" s="544"/>
      <c r="M268" s="416">
        <v>45292</v>
      </c>
      <c r="N268" s="416"/>
      <c r="O268" s="196" t="e">
        <f>W268/R268</f>
        <v>#DIV/0!</v>
      </c>
      <c r="P268" s="429">
        <v>44.83</v>
      </c>
      <c r="Q268" s="429">
        <f t="shared" si="59"/>
        <v>44.83</v>
      </c>
      <c r="R268" s="139"/>
      <c r="T268" s="78">
        <v>44.382199999999997</v>
      </c>
      <c r="U268" s="78">
        <v>44.382199999999997</v>
      </c>
    </row>
    <row r="269" spans="1:21">
      <c r="A269" s="511"/>
      <c r="B269" s="188" t="s">
        <v>680</v>
      </c>
      <c r="C269" s="196">
        <f>K269/F269</f>
        <v>7.8599999999999989E-2</v>
      </c>
      <c r="D269" s="190">
        <v>6</v>
      </c>
      <c r="E269" s="190">
        <v>5.5</v>
      </c>
      <c r="F269" s="190">
        <v>500</v>
      </c>
      <c r="G269" s="190" t="s">
        <v>8</v>
      </c>
      <c r="H269" s="190" t="s">
        <v>98</v>
      </c>
      <c r="I269" s="209" t="s">
        <v>351</v>
      </c>
      <c r="J269" s="429">
        <v>39.299999999999997</v>
      </c>
      <c r="K269" s="429">
        <f t="shared" si="58"/>
        <v>39.299999999999997</v>
      </c>
      <c r="L269" s="544"/>
      <c r="M269" s="416">
        <v>45292</v>
      </c>
      <c r="N269" s="416"/>
      <c r="O269" s="196" t="e">
        <f>W269/R269</f>
        <v>#DIV/0!</v>
      </c>
      <c r="P269" s="429">
        <v>38.32</v>
      </c>
      <c r="Q269" s="429">
        <f t="shared" si="59"/>
        <v>38.32</v>
      </c>
      <c r="R269" s="141"/>
      <c r="T269" s="78">
        <v>37.94</v>
      </c>
      <c r="U269" s="78">
        <v>37.94</v>
      </c>
    </row>
    <row r="270" spans="1:21">
      <c r="A270" s="511"/>
      <c r="B270" s="108" t="s">
        <v>98</v>
      </c>
      <c r="C270" s="69" t="s">
        <v>98</v>
      </c>
      <c r="D270" s="69" t="s">
        <v>98</v>
      </c>
      <c r="E270" s="69"/>
      <c r="F270" s="69" t="s">
        <v>98</v>
      </c>
      <c r="G270" s="69" t="s">
        <v>98</v>
      </c>
      <c r="H270" s="69" t="s">
        <v>98</v>
      </c>
      <c r="I270" s="68" t="s">
        <v>98</v>
      </c>
      <c r="J270" s="69" t="s">
        <v>98</v>
      </c>
      <c r="K270" s="69" t="s">
        <v>98</v>
      </c>
      <c r="O270" s="69" t="s">
        <v>98</v>
      </c>
      <c r="P270" s="69" t="s">
        <v>98</v>
      </c>
      <c r="Q270" s="69" t="s">
        <v>98</v>
      </c>
      <c r="R270" s="78"/>
    </row>
    <row r="271" spans="1:21">
      <c r="A271" s="77"/>
      <c r="B271" s="104"/>
      <c r="C271" s="78"/>
      <c r="D271" s="78"/>
      <c r="E271" s="78"/>
      <c r="F271" s="87"/>
      <c r="G271" s="78"/>
      <c r="J271" s="78"/>
      <c r="K271" s="78"/>
      <c r="O271" s="78"/>
      <c r="P271" s="78"/>
      <c r="Q271" s="78"/>
      <c r="R271" s="78"/>
    </row>
    <row r="272" spans="1:21">
      <c r="A272" s="511" t="s">
        <v>318</v>
      </c>
      <c r="B272" s="210" t="s">
        <v>682</v>
      </c>
      <c r="C272" s="196">
        <f t="shared" ref="C272:C282" si="60">K272/F272</f>
        <v>1.4228999999999998</v>
      </c>
      <c r="D272" s="211">
        <v>1</v>
      </c>
      <c r="E272" s="189"/>
      <c r="F272" s="212">
        <v>100</v>
      </c>
      <c r="G272" s="189" t="s">
        <v>8</v>
      </c>
      <c r="H272" s="189" t="s">
        <v>98</v>
      </c>
      <c r="I272" s="189" t="s">
        <v>351</v>
      </c>
      <c r="J272" s="429">
        <v>142.29</v>
      </c>
      <c r="K272" s="429">
        <f t="shared" ref="K272:K279" si="61">J272</f>
        <v>142.29</v>
      </c>
      <c r="L272" s="544"/>
      <c r="M272" s="416">
        <v>45292</v>
      </c>
      <c r="N272" s="416"/>
      <c r="O272" s="196" t="e">
        <f t="shared" ref="O272:O282" si="62">W272/R272</f>
        <v>#DIV/0!</v>
      </c>
      <c r="P272" s="429">
        <v>139.30000000000001</v>
      </c>
      <c r="Q272" s="429">
        <f t="shared" ref="Q272:Q279" si="63">P272</f>
        <v>139.30000000000001</v>
      </c>
      <c r="R272" s="136"/>
      <c r="T272" s="78">
        <v>135.24540000000002</v>
      </c>
      <c r="U272" s="78">
        <v>135.24540000000002</v>
      </c>
    </row>
    <row r="273" spans="1:21">
      <c r="A273" s="511"/>
      <c r="B273" s="188" t="s">
        <v>683</v>
      </c>
      <c r="C273" s="196">
        <f t="shared" si="60"/>
        <v>7.4010000000000007</v>
      </c>
      <c r="D273" s="190">
        <v>1</v>
      </c>
      <c r="E273" s="190"/>
      <c r="F273" s="191">
        <v>20</v>
      </c>
      <c r="G273" s="190" t="s">
        <v>8</v>
      </c>
      <c r="H273" s="190" t="s">
        <v>98</v>
      </c>
      <c r="I273" s="190" t="s">
        <v>351</v>
      </c>
      <c r="J273" s="429">
        <v>148.02000000000001</v>
      </c>
      <c r="K273" s="429">
        <f t="shared" si="61"/>
        <v>148.02000000000001</v>
      </c>
      <c r="L273" s="544"/>
      <c r="M273" s="416">
        <v>45292</v>
      </c>
      <c r="N273" s="416"/>
      <c r="O273" s="196" t="e">
        <f t="shared" si="62"/>
        <v>#DIV/0!</v>
      </c>
      <c r="P273" s="429">
        <v>144.5</v>
      </c>
      <c r="Q273" s="429">
        <f t="shared" si="63"/>
        <v>144.5</v>
      </c>
      <c r="R273" s="136"/>
      <c r="T273" s="78">
        <v>140.291</v>
      </c>
      <c r="U273" s="78">
        <v>140.291</v>
      </c>
    </row>
    <row r="274" spans="1:21">
      <c r="A274" s="511"/>
      <c r="B274" s="188" t="s">
        <v>684</v>
      </c>
      <c r="C274" s="196">
        <f t="shared" si="60"/>
        <v>7.5010000000000003</v>
      </c>
      <c r="D274" s="190">
        <v>1</v>
      </c>
      <c r="E274" s="190"/>
      <c r="F274" s="191">
        <v>20</v>
      </c>
      <c r="G274" s="190" t="s">
        <v>8</v>
      </c>
      <c r="H274" s="190" t="s">
        <v>98</v>
      </c>
      <c r="I274" s="190" t="s">
        <v>351</v>
      </c>
      <c r="J274" s="429">
        <v>150.02000000000001</v>
      </c>
      <c r="K274" s="429">
        <f t="shared" si="61"/>
        <v>150.02000000000001</v>
      </c>
      <c r="L274" s="544"/>
      <c r="M274" s="416">
        <v>45292</v>
      </c>
      <c r="N274" s="416"/>
      <c r="O274" s="196" t="e">
        <f t="shared" si="62"/>
        <v>#DIV/0!</v>
      </c>
      <c r="P274" s="429">
        <v>146.6</v>
      </c>
      <c r="Q274" s="429">
        <f t="shared" si="63"/>
        <v>146.6</v>
      </c>
      <c r="R274" s="136"/>
      <c r="T274" s="78">
        <v>142.32620000000003</v>
      </c>
      <c r="U274" s="78">
        <v>142.32620000000003</v>
      </c>
    </row>
    <row r="275" spans="1:21">
      <c r="A275" s="511"/>
      <c r="B275" s="188" t="s">
        <v>685</v>
      </c>
      <c r="C275" s="196">
        <f t="shared" si="60"/>
        <v>7.6684999999999999</v>
      </c>
      <c r="D275" s="190">
        <v>1</v>
      </c>
      <c r="E275" s="190"/>
      <c r="F275" s="191">
        <v>20</v>
      </c>
      <c r="G275" s="190" t="s">
        <v>8</v>
      </c>
      <c r="H275" s="190" t="s">
        <v>98</v>
      </c>
      <c r="I275" s="190" t="s">
        <v>351</v>
      </c>
      <c r="J275" s="429">
        <v>153.37</v>
      </c>
      <c r="K275" s="429">
        <f t="shared" si="61"/>
        <v>153.37</v>
      </c>
      <c r="L275" s="544"/>
      <c r="M275" s="416">
        <v>45292</v>
      </c>
      <c r="N275" s="416"/>
      <c r="O275" s="196" t="e">
        <f t="shared" si="62"/>
        <v>#DIV/0!</v>
      </c>
      <c r="P275" s="429">
        <v>149.76</v>
      </c>
      <c r="Q275" s="429">
        <f t="shared" si="63"/>
        <v>149.76</v>
      </c>
      <c r="R275" s="136"/>
      <c r="T275" s="78">
        <v>145.40019999999998</v>
      </c>
      <c r="U275" s="78">
        <v>145.40019999999998</v>
      </c>
    </row>
    <row r="276" spans="1:21">
      <c r="A276" s="511"/>
      <c r="B276" s="188" t="s">
        <v>686</v>
      </c>
      <c r="C276" s="196">
        <f t="shared" si="60"/>
        <v>7.7765000000000004</v>
      </c>
      <c r="D276" s="190">
        <v>1</v>
      </c>
      <c r="E276" s="190"/>
      <c r="F276" s="191">
        <v>20</v>
      </c>
      <c r="G276" s="190" t="s">
        <v>8</v>
      </c>
      <c r="H276" s="190" t="s">
        <v>98</v>
      </c>
      <c r="I276" s="190" t="s">
        <v>351</v>
      </c>
      <c r="J276" s="429">
        <v>155.53</v>
      </c>
      <c r="K276" s="429">
        <f t="shared" si="61"/>
        <v>155.53</v>
      </c>
      <c r="L276" s="544"/>
      <c r="M276" s="416">
        <v>45292</v>
      </c>
      <c r="N276" s="416"/>
      <c r="O276" s="196" t="e">
        <f t="shared" si="62"/>
        <v>#DIV/0!</v>
      </c>
      <c r="P276" s="429">
        <v>151.88</v>
      </c>
      <c r="Q276" s="429">
        <f t="shared" si="63"/>
        <v>151.88</v>
      </c>
      <c r="R276" s="136"/>
      <c r="T276" s="78">
        <v>147.45660000000001</v>
      </c>
      <c r="U276" s="78">
        <v>147.45660000000001</v>
      </c>
    </row>
    <row r="277" spans="1:21">
      <c r="A277" s="511"/>
      <c r="B277" s="188" t="s">
        <v>687</v>
      </c>
      <c r="C277" s="196">
        <f t="shared" si="60"/>
        <v>8.0019999999999989</v>
      </c>
      <c r="D277" s="190">
        <v>1</v>
      </c>
      <c r="E277" s="190"/>
      <c r="F277" s="191">
        <v>20</v>
      </c>
      <c r="G277" s="190" t="s">
        <v>8</v>
      </c>
      <c r="H277" s="190" t="s">
        <v>98</v>
      </c>
      <c r="I277" s="190" t="s">
        <v>351</v>
      </c>
      <c r="J277" s="429">
        <v>160.04</v>
      </c>
      <c r="K277" s="429">
        <f t="shared" si="61"/>
        <v>160.04</v>
      </c>
      <c r="L277" s="544"/>
      <c r="M277" s="416">
        <v>45292</v>
      </c>
      <c r="N277" s="416"/>
      <c r="O277" s="196" t="e">
        <f t="shared" si="62"/>
        <v>#DIV/0!</v>
      </c>
      <c r="P277" s="429">
        <v>156.09</v>
      </c>
      <c r="Q277" s="429">
        <f t="shared" si="63"/>
        <v>156.09</v>
      </c>
      <c r="R277" s="136"/>
      <c r="T277" s="78">
        <v>151.54820000000001</v>
      </c>
      <c r="U277" s="78">
        <v>151.54820000000001</v>
      </c>
    </row>
    <row r="278" spans="1:21">
      <c r="A278" s="511"/>
      <c r="B278" s="188" t="s">
        <v>847</v>
      </c>
      <c r="C278" s="189">
        <f t="shared" si="60"/>
        <v>28.76</v>
      </c>
      <c r="D278" s="190">
        <v>1</v>
      </c>
      <c r="E278" s="190"/>
      <c r="F278" s="191">
        <v>20</v>
      </c>
      <c r="G278" s="190" t="s">
        <v>8</v>
      </c>
      <c r="H278" s="190" t="s">
        <v>98</v>
      </c>
      <c r="I278" s="190" t="s">
        <v>351</v>
      </c>
      <c r="J278" s="429">
        <v>575.20000000000005</v>
      </c>
      <c r="K278" s="429">
        <f t="shared" si="61"/>
        <v>575.20000000000005</v>
      </c>
      <c r="L278" s="544"/>
      <c r="M278" s="416">
        <v>45292</v>
      </c>
      <c r="N278" s="416"/>
      <c r="O278" s="189" t="e">
        <f t="shared" si="62"/>
        <v>#DIV/0!</v>
      </c>
      <c r="P278" s="429">
        <v>561.55999999999995</v>
      </c>
      <c r="Q278" s="429">
        <f t="shared" si="63"/>
        <v>561.55999999999995</v>
      </c>
      <c r="R278" s="138"/>
      <c r="T278" s="78">
        <v>545.20040000000006</v>
      </c>
      <c r="U278" s="78">
        <v>545.20040000000006</v>
      </c>
    </row>
    <row r="279" spans="1:21">
      <c r="A279" s="511"/>
      <c r="B279" s="188" t="s">
        <v>848</v>
      </c>
      <c r="C279" s="189">
        <f t="shared" si="60"/>
        <v>28.76</v>
      </c>
      <c r="D279" s="190">
        <v>1</v>
      </c>
      <c r="E279" s="190"/>
      <c r="F279" s="191">
        <v>20</v>
      </c>
      <c r="G279" s="190" t="s">
        <v>8</v>
      </c>
      <c r="H279" s="190" t="s">
        <v>98</v>
      </c>
      <c r="I279" s="190" t="s">
        <v>351</v>
      </c>
      <c r="J279" s="429">
        <v>575.20000000000005</v>
      </c>
      <c r="K279" s="429">
        <f t="shared" si="61"/>
        <v>575.20000000000005</v>
      </c>
      <c r="L279" s="544"/>
      <c r="M279" s="416">
        <v>45292</v>
      </c>
      <c r="N279" s="416"/>
      <c r="O279" s="189" t="e">
        <f t="shared" si="62"/>
        <v>#DIV/0!</v>
      </c>
      <c r="P279" s="429">
        <v>561.55999999999995</v>
      </c>
      <c r="Q279" s="429">
        <f t="shared" si="63"/>
        <v>561.55999999999995</v>
      </c>
      <c r="R279" s="138"/>
      <c r="T279" s="78">
        <v>545.20040000000006</v>
      </c>
      <c r="U279" s="78">
        <v>545.20040000000006</v>
      </c>
    </row>
    <row r="280" spans="1:21">
      <c r="A280" s="511"/>
      <c r="B280" s="188" t="s">
        <v>688</v>
      </c>
      <c r="C280" s="189">
        <f t="shared" si="60"/>
        <v>128.61000000000001</v>
      </c>
      <c r="D280" s="190">
        <v>1</v>
      </c>
      <c r="E280" s="190"/>
      <c r="F280" s="191">
        <v>1</v>
      </c>
      <c r="G280" s="190" t="s">
        <v>8</v>
      </c>
      <c r="H280" s="190" t="s">
        <v>98</v>
      </c>
      <c r="I280" s="190" t="s">
        <v>351</v>
      </c>
      <c r="J280" s="429">
        <v>128.61000000000001</v>
      </c>
      <c r="K280" s="429">
        <f>J280</f>
        <v>128.61000000000001</v>
      </c>
      <c r="L280" s="544"/>
      <c r="M280" s="416">
        <v>45292</v>
      </c>
      <c r="N280" s="416"/>
      <c r="O280" s="189" t="e">
        <f t="shared" si="62"/>
        <v>#DIV/0!</v>
      </c>
      <c r="P280" s="429">
        <v>125.43</v>
      </c>
      <c r="Q280" s="429">
        <f>P280</f>
        <v>125.43</v>
      </c>
      <c r="R280" s="136"/>
      <c r="T280" s="78">
        <v>121.77</v>
      </c>
      <c r="U280" s="78">
        <v>121.77</v>
      </c>
    </row>
    <row r="281" spans="1:21">
      <c r="A281" s="511"/>
      <c r="B281" s="188" t="s">
        <v>689</v>
      </c>
      <c r="C281" s="189">
        <f t="shared" si="60"/>
        <v>136.11000000000001</v>
      </c>
      <c r="D281" s="190">
        <v>1</v>
      </c>
      <c r="E281" s="190"/>
      <c r="F281" s="191">
        <v>1</v>
      </c>
      <c r="G281" s="190" t="s">
        <v>8</v>
      </c>
      <c r="H281" s="190" t="s">
        <v>98</v>
      </c>
      <c r="I281" s="190" t="s">
        <v>351</v>
      </c>
      <c r="J281" s="429">
        <v>136.11000000000001</v>
      </c>
      <c r="K281" s="429">
        <f t="shared" ref="K281:K282" si="64">J281</f>
        <v>136.11000000000001</v>
      </c>
      <c r="L281" s="544"/>
      <c r="M281" s="416">
        <v>45292</v>
      </c>
      <c r="N281" s="416"/>
      <c r="O281" s="189" t="e">
        <f t="shared" si="62"/>
        <v>#DIV/0!</v>
      </c>
      <c r="P281" s="429">
        <v>136.11000000000001</v>
      </c>
      <c r="Q281" s="429">
        <f t="shared" ref="Q281:Q282" si="65">P281</f>
        <v>136.11000000000001</v>
      </c>
      <c r="R281" s="136"/>
      <c r="T281" s="78">
        <v>132.15</v>
      </c>
      <c r="U281" s="78">
        <v>132.15</v>
      </c>
    </row>
    <row r="282" spans="1:21">
      <c r="A282" s="511"/>
      <c r="B282" s="188" t="s">
        <v>690</v>
      </c>
      <c r="C282" s="189">
        <f t="shared" si="60"/>
        <v>158.36000000000001</v>
      </c>
      <c r="D282" s="190">
        <v>1</v>
      </c>
      <c r="E282" s="190"/>
      <c r="F282" s="191">
        <v>1</v>
      </c>
      <c r="G282" s="190" t="s">
        <v>8</v>
      </c>
      <c r="H282" s="190" t="s">
        <v>98</v>
      </c>
      <c r="I282" s="190" t="s">
        <v>351</v>
      </c>
      <c r="J282" s="429">
        <v>158.36000000000001</v>
      </c>
      <c r="K282" s="429">
        <f t="shared" si="64"/>
        <v>158.36000000000001</v>
      </c>
      <c r="L282" s="544"/>
      <c r="M282" s="416">
        <v>45292</v>
      </c>
      <c r="N282" s="416"/>
      <c r="O282" s="189" t="e">
        <f t="shared" si="62"/>
        <v>#DIV/0!</v>
      </c>
      <c r="P282" s="429">
        <v>154.44999999999999</v>
      </c>
      <c r="Q282" s="429">
        <f t="shared" si="65"/>
        <v>154.44999999999999</v>
      </c>
      <c r="R282" s="136"/>
      <c r="T282" s="78">
        <v>149.94999999999999</v>
      </c>
      <c r="U282" s="78">
        <v>149.94999999999999</v>
      </c>
    </row>
    <row r="283" spans="1:21">
      <c r="A283" s="511"/>
      <c r="B283" s="108" t="s">
        <v>98</v>
      </c>
      <c r="C283" s="69" t="s">
        <v>98</v>
      </c>
      <c r="D283" s="69" t="s">
        <v>98</v>
      </c>
      <c r="E283" s="69"/>
      <c r="F283" s="90" t="s">
        <v>98</v>
      </c>
      <c r="G283" s="69" t="s">
        <v>98</v>
      </c>
      <c r="H283" s="69" t="s">
        <v>98</v>
      </c>
      <c r="I283" s="69" t="s">
        <v>98</v>
      </c>
      <c r="J283" s="69" t="s">
        <v>98</v>
      </c>
      <c r="K283" s="69" t="s">
        <v>98</v>
      </c>
      <c r="O283" s="69" t="s">
        <v>98</v>
      </c>
      <c r="P283" s="69" t="s">
        <v>98</v>
      </c>
      <c r="Q283" s="69" t="s">
        <v>98</v>
      </c>
      <c r="R283" s="78"/>
    </row>
    <row r="284" spans="1:21">
      <c r="A284" s="77"/>
      <c r="B284" s="104"/>
      <c r="C284" s="78"/>
      <c r="D284" s="78"/>
      <c r="E284" s="78"/>
      <c r="F284" s="87"/>
      <c r="G284" s="78"/>
      <c r="J284" s="78"/>
      <c r="K284" s="78"/>
      <c r="O284" s="78"/>
      <c r="P284" s="78"/>
      <c r="Q284" s="78"/>
      <c r="R284" s="78"/>
    </row>
    <row r="285" spans="1:21">
      <c r="A285" s="511" t="s">
        <v>319</v>
      </c>
      <c r="B285" s="188" t="s">
        <v>681</v>
      </c>
      <c r="C285" s="189">
        <f>K285/F285</f>
        <v>2.2936399999999999</v>
      </c>
      <c r="D285" s="190">
        <v>1</v>
      </c>
      <c r="E285" s="190"/>
      <c r="F285" s="190">
        <v>250</v>
      </c>
      <c r="G285" s="190" t="s">
        <v>141</v>
      </c>
      <c r="H285" s="190">
        <v>20</v>
      </c>
      <c r="I285" s="190" t="s">
        <v>351</v>
      </c>
      <c r="J285" s="429">
        <v>573.41</v>
      </c>
      <c r="K285" s="429">
        <f>J285</f>
        <v>573.41</v>
      </c>
      <c r="L285" s="544"/>
      <c r="M285" s="416">
        <v>45292</v>
      </c>
      <c r="N285" s="416"/>
      <c r="O285" s="189" t="e">
        <f>W285/R285</f>
        <v>#VALUE!</v>
      </c>
      <c r="P285" s="429">
        <v>559.67999999999995</v>
      </c>
      <c r="Q285" s="429">
        <f>P285</f>
        <v>559.67999999999995</v>
      </c>
      <c r="R285" s="144" t="s">
        <v>458</v>
      </c>
      <c r="T285" s="78">
        <v>559.67999999999995</v>
      </c>
      <c r="U285" s="78">
        <v>559.67999999999995</v>
      </c>
    </row>
    <row r="286" spans="1:21">
      <c r="A286" s="511"/>
      <c r="B286" s="188" t="s">
        <v>541</v>
      </c>
      <c r="C286" s="189">
        <f>K286/F286</f>
        <v>0.3168333333333333</v>
      </c>
      <c r="D286" s="190">
        <v>3</v>
      </c>
      <c r="E286" s="190"/>
      <c r="F286" s="190">
        <v>300</v>
      </c>
      <c r="G286" s="190" t="s">
        <v>141</v>
      </c>
      <c r="H286" s="190">
        <v>120</v>
      </c>
      <c r="I286" s="190" t="s">
        <v>351</v>
      </c>
      <c r="J286" s="451">
        <v>98.25</v>
      </c>
      <c r="K286" s="429">
        <v>95.05</v>
      </c>
      <c r="L286" s="544"/>
      <c r="M286" s="416">
        <v>45292</v>
      </c>
      <c r="N286" s="416"/>
      <c r="O286" s="189" t="e">
        <f>W286/R286</f>
        <v>#DIV/0!</v>
      </c>
      <c r="P286" s="451">
        <v>95.76</v>
      </c>
      <c r="Q286" s="429">
        <v>92.64</v>
      </c>
      <c r="R286" s="139"/>
      <c r="T286" s="78">
        <v>92.97</v>
      </c>
      <c r="U286" s="78">
        <v>89.94</v>
      </c>
    </row>
    <row r="287" spans="1:21">
      <c r="A287" s="511"/>
      <c r="B287" s="108" t="s">
        <v>98</v>
      </c>
      <c r="C287" s="69" t="s">
        <v>98</v>
      </c>
      <c r="D287" s="69" t="s">
        <v>98</v>
      </c>
      <c r="E287" s="69"/>
      <c r="F287" s="90" t="s">
        <v>98</v>
      </c>
      <c r="G287" s="69" t="s">
        <v>98</v>
      </c>
      <c r="H287" s="69" t="s">
        <v>98</v>
      </c>
      <c r="I287" s="69" t="s">
        <v>98</v>
      </c>
      <c r="J287" s="69" t="s">
        <v>98</v>
      </c>
      <c r="K287" s="69" t="s">
        <v>98</v>
      </c>
      <c r="O287" s="69" t="s">
        <v>98</v>
      </c>
      <c r="P287" s="69" t="s">
        <v>98</v>
      </c>
      <c r="Q287" s="69" t="s">
        <v>98</v>
      </c>
      <c r="R287" s="78"/>
    </row>
    <row r="288" spans="1:21">
      <c r="A288" s="77"/>
      <c r="B288" s="104"/>
      <c r="C288" s="78"/>
      <c r="D288" s="78"/>
      <c r="E288" s="78"/>
      <c r="F288" s="87"/>
      <c r="G288" s="78"/>
      <c r="J288" s="78"/>
      <c r="K288" s="78"/>
      <c r="O288" s="78"/>
      <c r="P288" s="78"/>
      <c r="Q288" s="78"/>
      <c r="R288" s="78"/>
    </row>
    <row r="289" spans="1:21">
      <c r="A289" s="514" t="s">
        <v>320</v>
      </c>
      <c r="B289" s="165" t="s">
        <v>524</v>
      </c>
      <c r="C289" s="166">
        <f>K289/F289</f>
        <v>5.7504</v>
      </c>
      <c r="D289" s="166">
        <v>3.5</v>
      </c>
      <c r="E289" s="167"/>
      <c r="F289" s="168">
        <v>25</v>
      </c>
      <c r="G289" s="167" t="s">
        <v>5</v>
      </c>
      <c r="H289" s="167">
        <v>600</v>
      </c>
      <c r="I289" s="167" t="s">
        <v>353</v>
      </c>
      <c r="J289" s="437">
        <f t="shared" ref="J289:K292" si="66">J171</f>
        <v>145.1</v>
      </c>
      <c r="K289" s="437">
        <f t="shared" si="66"/>
        <v>143.76</v>
      </c>
      <c r="L289" s="544"/>
      <c r="M289" s="416">
        <v>45292</v>
      </c>
      <c r="N289" s="416"/>
      <c r="O289" s="166" t="e">
        <f>W289/R289</f>
        <v>#DIV/0!</v>
      </c>
      <c r="P289" s="437">
        <f t="shared" ref="P289:Q292" si="67">P171</f>
        <v>141.43</v>
      </c>
      <c r="Q289" s="437">
        <f t="shared" si="67"/>
        <v>140.11000000000001</v>
      </c>
      <c r="R289" s="144"/>
    </row>
    <row r="290" spans="1:21">
      <c r="A290" s="514"/>
      <c r="B290" s="165" t="s">
        <v>525</v>
      </c>
      <c r="C290" s="166">
        <f>K290/F290</f>
        <v>6.0952000000000002</v>
      </c>
      <c r="D290" s="166">
        <v>3.5</v>
      </c>
      <c r="E290" s="167"/>
      <c r="F290" s="168">
        <v>25</v>
      </c>
      <c r="G290" s="167" t="s">
        <v>5</v>
      </c>
      <c r="H290" s="167">
        <v>600</v>
      </c>
      <c r="I290" s="167" t="s">
        <v>353</v>
      </c>
      <c r="J290" s="437">
        <f t="shared" si="66"/>
        <v>153.81</v>
      </c>
      <c r="K290" s="437">
        <f t="shared" si="66"/>
        <v>152.38</v>
      </c>
      <c r="L290" s="544"/>
      <c r="M290" s="416">
        <v>45292</v>
      </c>
      <c r="N290" s="416"/>
      <c r="O290" s="166" t="e">
        <f>W290/R290</f>
        <v>#DIV/0!</v>
      </c>
      <c r="P290" s="437">
        <f t="shared" si="67"/>
        <v>149.91</v>
      </c>
      <c r="Q290" s="437">
        <f t="shared" si="67"/>
        <v>148.52000000000001</v>
      </c>
      <c r="R290" s="144"/>
    </row>
    <row r="291" spans="1:21">
      <c r="A291" s="514"/>
      <c r="B291" s="165" t="s">
        <v>526</v>
      </c>
      <c r="C291" s="166">
        <f>K291/F291</f>
        <v>5.556</v>
      </c>
      <c r="D291" s="166">
        <v>2.7</v>
      </c>
      <c r="E291" s="167"/>
      <c r="F291" s="168">
        <v>25</v>
      </c>
      <c r="G291" s="167" t="s">
        <v>5</v>
      </c>
      <c r="H291" s="167">
        <v>600</v>
      </c>
      <c r="I291" s="167" t="s">
        <v>353</v>
      </c>
      <c r="J291" s="437">
        <f t="shared" si="66"/>
        <v>140.38</v>
      </c>
      <c r="K291" s="437">
        <f t="shared" si="66"/>
        <v>138.9</v>
      </c>
      <c r="L291" s="544"/>
      <c r="M291" s="416">
        <v>45292</v>
      </c>
      <c r="N291" s="416"/>
      <c r="O291" s="166" t="e">
        <f>W291/R291</f>
        <v>#DIV/0!</v>
      </c>
      <c r="P291" s="437">
        <f t="shared" si="67"/>
        <v>136.82</v>
      </c>
      <c r="Q291" s="437">
        <f t="shared" si="67"/>
        <v>135.38</v>
      </c>
      <c r="R291" s="144"/>
    </row>
    <row r="292" spans="1:21">
      <c r="A292" s="514"/>
      <c r="B292" s="165" t="s">
        <v>527</v>
      </c>
      <c r="C292" s="166">
        <f>K292/F292</f>
        <v>5.8891999999999998</v>
      </c>
      <c r="D292" s="166">
        <v>2.7</v>
      </c>
      <c r="E292" s="167"/>
      <c r="F292" s="168">
        <v>25</v>
      </c>
      <c r="G292" s="167" t="s">
        <v>5</v>
      </c>
      <c r="H292" s="167">
        <v>600</v>
      </c>
      <c r="I292" s="167" t="s">
        <v>353</v>
      </c>
      <c r="J292" s="437">
        <f t="shared" si="66"/>
        <v>148.80000000000001</v>
      </c>
      <c r="K292" s="437">
        <f t="shared" si="66"/>
        <v>147.22999999999999</v>
      </c>
      <c r="L292" s="544"/>
      <c r="M292" s="416">
        <v>45292</v>
      </c>
      <c r="N292" s="416"/>
      <c r="O292" s="166" t="e">
        <f>W292/R292</f>
        <v>#DIV/0!</v>
      </c>
      <c r="P292" s="437">
        <f t="shared" si="67"/>
        <v>145.03</v>
      </c>
      <c r="Q292" s="437">
        <f t="shared" si="67"/>
        <v>143.5</v>
      </c>
      <c r="R292" s="144"/>
    </row>
    <row r="293" spans="1:21">
      <c r="A293" s="514"/>
      <c r="B293" s="165" t="s">
        <v>518</v>
      </c>
      <c r="C293" s="166">
        <f t="shared" ref="C293:C298" si="68">K293/F293</f>
        <v>5.9875999999999996</v>
      </c>
      <c r="D293" s="166">
        <v>1.8</v>
      </c>
      <c r="E293" s="167"/>
      <c r="F293" s="168">
        <v>25</v>
      </c>
      <c r="G293" s="167" t="s">
        <v>5</v>
      </c>
      <c r="H293" s="167">
        <v>600</v>
      </c>
      <c r="I293" s="167" t="s">
        <v>353</v>
      </c>
      <c r="J293" s="437">
        <f t="shared" ref="J293:K296" si="69">J176</f>
        <v>151.18</v>
      </c>
      <c r="K293" s="437">
        <f t="shared" si="69"/>
        <v>149.69</v>
      </c>
      <c r="L293" s="544"/>
      <c r="M293" s="416">
        <v>45292</v>
      </c>
      <c r="N293" s="416"/>
      <c r="O293" s="166" t="e">
        <f t="shared" ref="O293:O298" si="70">W293/R293</f>
        <v>#DIV/0!</v>
      </c>
      <c r="P293" s="437">
        <f t="shared" ref="P293:Q296" si="71">P176</f>
        <v>147.35</v>
      </c>
      <c r="Q293" s="437">
        <f t="shared" si="71"/>
        <v>145.88999999999999</v>
      </c>
      <c r="R293" s="144"/>
    </row>
    <row r="294" spans="1:21">
      <c r="A294" s="514"/>
      <c r="B294" s="165" t="s">
        <v>519</v>
      </c>
      <c r="C294" s="166">
        <f t="shared" si="68"/>
        <v>6.3467999999999991</v>
      </c>
      <c r="D294" s="166">
        <v>1.8</v>
      </c>
      <c r="E294" s="167"/>
      <c r="F294" s="168">
        <v>25</v>
      </c>
      <c r="G294" s="167" t="s">
        <v>5</v>
      </c>
      <c r="H294" s="167">
        <v>600</v>
      </c>
      <c r="I294" s="167" t="s">
        <v>353</v>
      </c>
      <c r="J294" s="437">
        <f t="shared" si="69"/>
        <v>160.25</v>
      </c>
      <c r="K294" s="437">
        <f t="shared" si="69"/>
        <v>158.66999999999999</v>
      </c>
      <c r="L294" s="544"/>
      <c r="M294" s="416">
        <v>45292</v>
      </c>
      <c r="N294" s="416"/>
      <c r="O294" s="166" t="e">
        <f t="shared" si="70"/>
        <v>#DIV/0!</v>
      </c>
      <c r="P294" s="437">
        <f t="shared" si="71"/>
        <v>156.19</v>
      </c>
      <c r="Q294" s="437">
        <f t="shared" si="71"/>
        <v>154.65</v>
      </c>
      <c r="R294" s="144"/>
    </row>
    <row r="295" spans="1:21">
      <c r="A295" s="514"/>
      <c r="B295" s="165" t="s">
        <v>520</v>
      </c>
      <c r="C295" s="166">
        <f t="shared" si="68"/>
        <v>6.2412000000000001</v>
      </c>
      <c r="D295" s="166">
        <v>1.5</v>
      </c>
      <c r="E295" s="167"/>
      <c r="F295" s="168">
        <v>25</v>
      </c>
      <c r="G295" s="167" t="s">
        <v>5</v>
      </c>
      <c r="H295" s="167">
        <v>600</v>
      </c>
      <c r="I295" s="167" t="s">
        <v>353</v>
      </c>
      <c r="J295" s="437">
        <f t="shared" si="69"/>
        <v>157.63999999999999</v>
      </c>
      <c r="K295" s="437">
        <f t="shared" si="69"/>
        <v>156.03</v>
      </c>
      <c r="L295" s="544"/>
      <c r="M295" s="416">
        <v>45292</v>
      </c>
      <c r="N295" s="416"/>
      <c r="O295" s="166" t="e">
        <f t="shared" si="70"/>
        <v>#DIV/0!</v>
      </c>
      <c r="P295" s="437">
        <f t="shared" si="71"/>
        <v>153.63999999999999</v>
      </c>
      <c r="Q295" s="437">
        <f t="shared" si="71"/>
        <v>152.08000000000001</v>
      </c>
      <c r="R295" s="144"/>
    </row>
    <row r="296" spans="1:21">
      <c r="A296" s="514"/>
      <c r="B296" s="165" t="s">
        <v>521</v>
      </c>
      <c r="C296" s="166">
        <f t="shared" si="68"/>
        <v>6.6155999999999997</v>
      </c>
      <c r="D296" s="166">
        <v>1.5</v>
      </c>
      <c r="E296" s="167"/>
      <c r="F296" s="168">
        <v>25</v>
      </c>
      <c r="G296" s="167" t="s">
        <v>5</v>
      </c>
      <c r="H296" s="167">
        <v>600</v>
      </c>
      <c r="I296" s="167" t="s">
        <v>353</v>
      </c>
      <c r="J296" s="437">
        <f t="shared" si="69"/>
        <v>167.1</v>
      </c>
      <c r="K296" s="437">
        <f t="shared" si="69"/>
        <v>165.39</v>
      </c>
      <c r="L296" s="544"/>
      <c r="M296" s="416">
        <v>45292</v>
      </c>
      <c r="N296" s="416"/>
      <c r="O296" s="166" t="e">
        <f t="shared" si="70"/>
        <v>#DIV/0!</v>
      </c>
      <c r="P296" s="437">
        <f t="shared" si="71"/>
        <v>162.86000000000001</v>
      </c>
      <c r="Q296" s="437">
        <f t="shared" si="71"/>
        <v>161.19999999999999</v>
      </c>
      <c r="R296" s="144"/>
    </row>
    <row r="297" spans="1:21">
      <c r="A297" s="514"/>
      <c r="B297" s="165" t="s">
        <v>522</v>
      </c>
      <c r="C297" s="166">
        <f t="shared" si="68"/>
        <v>17.434285714285714</v>
      </c>
      <c r="D297" s="166">
        <v>0.3</v>
      </c>
      <c r="E297" s="167"/>
      <c r="F297" s="168">
        <v>14</v>
      </c>
      <c r="G297" s="167" t="s">
        <v>13</v>
      </c>
      <c r="H297" s="167">
        <v>336</v>
      </c>
      <c r="I297" s="167" t="s">
        <v>353</v>
      </c>
      <c r="J297" s="437">
        <f>J206</f>
        <v>246.52</v>
      </c>
      <c r="K297" s="437">
        <f>K206</f>
        <v>244.08</v>
      </c>
      <c r="L297" s="544"/>
      <c r="M297" s="416">
        <v>45292</v>
      </c>
      <c r="N297" s="416"/>
      <c r="O297" s="166" t="e">
        <f t="shared" si="70"/>
        <v>#DIV/0!</v>
      </c>
      <c r="P297" s="437">
        <f>P206</f>
        <v>240.27</v>
      </c>
      <c r="Q297" s="437">
        <f>Q206</f>
        <v>237.9</v>
      </c>
      <c r="R297" s="144"/>
    </row>
    <row r="298" spans="1:21">
      <c r="A298" s="514"/>
      <c r="B298" s="165" t="s">
        <v>523</v>
      </c>
      <c r="C298" s="166">
        <f t="shared" si="68"/>
        <v>18.480714285714289</v>
      </c>
      <c r="D298" s="166">
        <v>0.3</v>
      </c>
      <c r="E298" s="167"/>
      <c r="F298" s="168">
        <v>14</v>
      </c>
      <c r="G298" s="167" t="s">
        <v>13</v>
      </c>
      <c r="H298" s="167">
        <v>336</v>
      </c>
      <c r="I298" s="167" t="s">
        <v>353</v>
      </c>
      <c r="J298" s="437">
        <f>J207</f>
        <v>261.31</v>
      </c>
      <c r="K298" s="437">
        <f>K207</f>
        <v>258.73</v>
      </c>
      <c r="L298" s="544"/>
      <c r="M298" s="416">
        <v>45292</v>
      </c>
      <c r="N298" s="416"/>
      <c r="O298" s="166" t="e">
        <f t="shared" si="70"/>
        <v>#DIV/0!</v>
      </c>
      <c r="P298" s="437">
        <f>P207</f>
        <v>254.69</v>
      </c>
      <c r="Q298" s="437">
        <f>Q207</f>
        <v>252.17</v>
      </c>
      <c r="R298" s="144"/>
    </row>
    <row r="299" spans="1:21">
      <c r="A299" s="77"/>
      <c r="B299" s="104"/>
      <c r="C299" s="78"/>
      <c r="D299" s="78"/>
      <c r="E299" s="78"/>
      <c r="F299" s="87"/>
      <c r="G299" s="78"/>
      <c r="J299" s="78"/>
      <c r="K299" s="78"/>
      <c r="O299" s="78"/>
      <c r="P299" s="78"/>
      <c r="Q299" s="78"/>
      <c r="R299" s="78"/>
    </row>
    <row r="300" spans="1:21">
      <c r="A300" s="510" t="s">
        <v>433</v>
      </c>
      <c r="B300" s="178" t="s">
        <v>532</v>
      </c>
      <c r="C300" s="179">
        <f>K300/F300</f>
        <v>0.36680000000000001</v>
      </c>
      <c r="D300" s="179">
        <v>1.6</v>
      </c>
      <c r="E300" s="180"/>
      <c r="F300" s="181">
        <v>25</v>
      </c>
      <c r="G300" s="180" t="s">
        <v>5</v>
      </c>
      <c r="H300" s="180">
        <v>1200</v>
      </c>
      <c r="I300" s="180" t="s">
        <v>346</v>
      </c>
      <c r="J300" s="452">
        <v>10.44</v>
      </c>
      <c r="K300" s="452">
        <v>9.17</v>
      </c>
      <c r="L300" s="544"/>
      <c r="M300" s="416">
        <v>45292</v>
      </c>
      <c r="N300" s="416"/>
      <c r="O300" s="179" t="e">
        <f>W300/R300</f>
        <v>#DIV/0!</v>
      </c>
      <c r="P300" s="452">
        <v>10.76</v>
      </c>
      <c r="Q300" s="452">
        <v>9.4499999999999993</v>
      </c>
      <c r="R300" s="136"/>
      <c r="T300" s="78">
        <v>10.46</v>
      </c>
      <c r="U300" s="78">
        <v>9.26</v>
      </c>
    </row>
    <row r="301" spans="1:21">
      <c r="A301" s="510"/>
      <c r="B301" s="178" t="s">
        <v>531</v>
      </c>
      <c r="C301" s="179">
        <f>K301/F301</f>
        <v>0.3876</v>
      </c>
      <c r="D301" s="179">
        <v>1.6</v>
      </c>
      <c r="E301" s="180"/>
      <c r="F301" s="181">
        <v>25</v>
      </c>
      <c r="G301" s="180" t="s">
        <v>5</v>
      </c>
      <c r="H301" s="180">
        <v>1200</v>
      </c>
      <c r="I301" s="180" t="s">
        <v>346</v>
      </c>
      <c r="J301" s="452">
        <v>11.04</v>
      </c>
      <c r="K301" s="452">
        <v>9.69</v>
      </c>
      <c r="L301" s="544"/>
      <c r="M301" s="416">
        <v>45292</v>
      </c>
      <c r="N301" s="416"/>
      <c r="O301" s="179" t="e">
        <f>W301/R301</f>
        <v>#DIV/0!</v>
      </c>
      <c r="P301" s="452">
        <v>10.17</v>
      </c>
      <c r="Q301" s="452">
        <v>8.94</v>
      </c>
      <c r="R301" s="136"/>
      <c r="T301" s="78">
        <v>9.98</v>
      </c>
      <c r="U301" s="78">
        <v>8.76</v>
      </c>
    </row>
    <row r="302" spans="1:21">
      <c r="A302" s="510"/>
      <c r="B302" s="178" t="s">
        <v>530</v>
      </c>
      <c r="C302" s="179">
        <f>K302/F302</f>
        <v>0.60760000000000003</v>
      </c>
      <c r="D302" s="179">
        <f>1.7*5</f>
        <v>8.5</v>
      </c>
      <c r="E302" s="180"/>
      <c r="F302" s="181">
        <v>25</v>
      </c>
      <c r="G302" s="180" t="s">
        <v>5</v>
      </c>
      <c r="H302" s="180">
        <v>1200</v>
      </c>
      <c r="I302" s="180" t="s">
        <v>346</v>
      </c>
      <c r="J302" s="452">
        <v>16.399999999999999</v>
      </c>
      <c r="K302" s="452">
        <v>15.19</v>
      </c>
      <c r="L302" s="544"/>
      <c r="M302" s="416">
        <v>45292</v>
      </c>
      <c r="N302" s="416"/>
      <c r="O302" s="179" t="e">
        <f>W302/R302</f>
        <v>#DIV/0!</v>
      </c>
      <c r="P302" s="452">
        <v>15.99</v>
      </c>
      <c r="Q302" s="452">
        <v>14.8</v>
      </c>
      <c r="R302" s="136"/>
      <c r="T302" s="78">
        <v>15.2</v>
      </c>
      <c r="U302" s="78">
        <v>14.37</v>
      </c>
    </row>
    <row r="303" spans="1:21">
      <c r="A303" s="510"/>
      <c r="B303" s="178" t="s">
        <v>529</v>
      </c>
      <c r="C303" s="179">
        <f>K303/F303</f>
        <v>0.7016</v>
      </c>
      <c r="D303" s="179">
        <v>1.6</v>
      </c>
      <c r="E303" s="180"/>
      <c r="F303" s="181">
        <v>25</v>
      </c>
      <c r="G303" s="180" t="s">
        <v>5</v>
      </c>
      <c r="H303" s="180">
        <v>1200</v>
      </c>
      <c r="I303" s="180" t="s">
        <v>346</v>
      </c>
      <c r="J303" s="452">
        <v>18.95</v>
      </c>
      <c r="K303" s="452">
        <v>17.54</v>
      </c>
      <c r="L303" s="544"/>
      <c r="M303" s="416">
        <v>45292</v>
      </c>
      <c r="N303" s="416"/>
      <c r="O303" s="179" t="e">
        <f>W303/R303</f>
        <v>#DIV/0!</v>
      </c>
      <c r="P303" s="452">
        <v>18.47</v>
      </c>
      <c r="Q303" s="452">
        <v>17.100000000000001</v>
      </c>
      <c r="R303" s="136"/>
      <c r="T303" s="78">
        <v>17.670000000000002</v>
      </c>
      <c r="U303" s="78">
        <v>16.600000000000001</v>
      </c>
    </row>
    <row r="304" spans="1:21">
      <c r="A304" s="77"/>
      <c r="B304" s="104"/>
      <c r="C304" s="78"/>
      <c r="D304" s="78"/>
      <c r="E304" s="78"/>
      <c r="F304" s="87"/>
      <c r="G304" s="78"/>
      <c r="J304" s="78"/>
      <c r="K304" s="78"/>
      <c r="O304" s="78"/>
      <c r="P304" s="78"/>
      <c r="Q304" s="78"/>
    </row>
    <row r="305" spans="1:21">
      <c r="A305" s="515" t="s">
        <v>987</v>
      </c>
      <c r="B305" s="178" t="s">
        <v>988</v>
      </c>
      <c r="C305" s="179">
        <f>K305/F305</f>
        <v>1.0087000000000002</v>
      </c>
      <c r="D305" s="179">
        <v>6</v>
      </c>
      <c r="E305" s="180"/>
      <c r="F305" s="181">
        <v>100</v>
      </c>
      <c r="G305" s="180" t="s">
        <v>8</v>
      </c>
      <c r="H305" s="180">
        <v>36</v>
      </c>
      <c r="I305" s="180" t="s">
        <v>351</v>
      </c>
      <c r="J305" s="452">
        <v>100.87</v>
      </c>
      <c r="K305" s="452">
        <v>100.87</v>
      </c>
      <c r="L305" s="544"/>
      <c r="M305" s="416">
        <v>45292</v>
      </c>
      <c r="N305" s="416"/>
      <c r="O305" s="179" t="e">
        <f>W305/R305</f>
        <v>#DIV/0!</v>
      </c>
      <c r="P305" s="452">
        <v>98.33</v>
      </c>
      <c r="Q305" s="452">
        <v>98.33</v>
      </c>
      <c r="T305" s="78">
        <v>98.33</v>
      </c>
      <c r="U305" s="78">
        <v>98.33</v>
      </c>
    </row>
    <row r="306" spans="1:21">
      <c r="A306" s="515"/>
      <c r="B306" s="178" t="s">
        <v>989</v>
      </c>
      <c r="C306" s="179">
        <f>K306/F306</f>
        <v>9.6973333333333342E-2</v>
      </c>
      <c r="D306" s="179">
        <v>20</v>
      </c>
      <c r="E306" s="180"/>
      <c r="F306" s="181">
        <v>3000</v>
      </c>
      <c r="G306" s="180" t="s">
        <v>8</v>
      </c>
      <c r="H306" s="180">
        <v>30</v>
      </c>
      <c r="I306" s="180" t="s">
        <v>351</v>
      </c>
      <c r="J306" s="452">
        <v>290.92</v>
      </c>
      <c r="K306" s="452">
        <v>290.92</v>
      </c>
      <c r="L306" s="544"/>
      <c r="M306" s="416">
        <v>45292</v>
      </c>
      <c r="N306" s="416"/>
      <c r="O306" s="179" t="e">
        <f>W306/R306</f>
        <v>#DIV/0!</v>
      </c>
      <c r="P306" s="452">
        <v>283.33</v>
      </c>
      <c r="Q306" s="452">
        <v>283.33</v>
      </c>
      <c r="T306" s="78">
        <v>283.33</v>
      </c>
      <c r="U306" s="78">
        <v>283.33</v>
      </c>
    </row>
    <row r="307" spans="1:21">
      <c r="A307" s="515"/>
      <c r="B307" s="178" t="s">
        <v>990</v>
      </c>
      <c r="C307" s="179">
        <f>K307/F307</f>
        <v>10.599600000000001</v>
      </c>
      <c r="D307" s="179">
        <v>1</v>
      </c>
      <c r="E307" s="180"/>
      <c r="F307" s="181">
        <v>25</v>
      </c>
      <c r="G307" s="180" t="s">
        <v>453</v>
      </c>
      <c r="H307" s="180">
        <v>16</v>
      </c>
      <c r="I307" s="180" t="s">
        <v>352</v>
      </c>
      <c r="J307" s="452">
        <v>264.99</v>
      </c>
      <c r="K307" s="452">
        <v>264.99</v>
      </c>
      <c r="L307" s="544"/>
      <c r="M307" s="416">
        <v>45292</v>
      </c>
      <c r="N307" s="416"/>
      <c r="O307" s="179" t="e">
        <f>W307/R307</f>
        <v>#DIV/0!</v>
      </c>
      <c r="P307" s="452">
        <v>257.8</v>
      </c>
      <c r="Q307" s="452">
        <v>257.8</v>
      </c>
      <c r="T307" s="78">
        <v>257.8</v>
      </c>
      <c r="U307" s="78">
        <v>257.8</v>
      </c>
    </row>
    <row r="308" spans="1:21">
      <c r="A308" s="515"/>
      <c r="B308" s="178"/>
      <c r="C308" s="179"/>
      <c r="D308" s="179"/>
      <c r="E308" s="180"/>
      <c r="F308" s="181"/>
      <c r="G308" s="180"/>
      <c r="H308" s="180"/>
      <c r="I308" s="180"/>
      <c r="J308" s="182"/>
      <c r="K308" s="182"/>
      <c r="L308" s="543"/>
      <c r="M308" s="160"/>
      <c r="N308" s="160"/>
      <c r="O308" s="179"/>
      <c r="P308" s="182"/>
      <c r="Q308" s="182"/>
    </row>
    <row r="309" spans="1:21">
      <c r="A309" s="77"/>
      <c r="B309" s="104"/>
      <c r="C309" s="78"/>
      <c r="D309" s="78"/>
      <c r="E309" s="78"/>
      <c r="F309" s="87"/>
      <c r="G309" s="78"/>
      <c r="J309" s="78"/>
      <c r="K309" s="78"/>
      <c r="O309" s="78"/>
      <c r="P309" s="78"/>
      <c r="Q309" s="78"/>
    </row>
    <row r="310" spans="1:21">
      <c r="A310" s="516" t="s">
        <v>991</v>
      </c>
      <c r="B310" s="178" t="s">
        <v>992</v>
      </c>
      <c r="C310" s="179">
        <f>K310/F310</f>
        <v>2.226</v>
      </c>
      <c r="D310" s="179">
        <v>8</v>
      </c>
      <c r="E310" s="180"/>
      <c r="F310" s="181">
        <v>10</v>
      </c>
      <c r="G310" s="180" t="s">
        <v>5</v>
      </c>
      <c r="H310" s="180">
        <v>480</v>
      </c>
      <c r="I310" s="180" t="s">
        <v>346</v>
      </c>
      <c r="J310" s="452">
        <v>24.05</v>
      </c>
      <c r="K310" s="452">
        <v>22.26</v>
      </c>
      <c r="L310" s="544"/>
      <c r="M310" s="416">
        <v>45292</v>
      </c>
      <c r="N310" s="416"/>
      <c r="O310" s="179" t="e">
        <f>W310/R310</f>
        <v>#DIV/0!</v>
      </c>
      <c r="P310" s="452">
        <v>23.44</v>
      </c>
      <c r="Q310" s="452">
        <v>21.7</v>
      </c>
      <c r="R310" s="136"/>
      <c r="T310" s="78">
        <v>23.9</v>
      </c>
      <c r="U310" s="78">
        <v>23.9</v>
      </c>
    </row>
    <row r="311" spans="1:21">
      <c r="A311" s="516"/>
      <c r="B311" s="178" t="s">
        <v>993</v>
      </c>
      <c r="C311" s="179">
        <f>K311/F311</f>
        <v>0.56399999999999995</v>
      </c>
      <c r="D311" s="179">
        <f>14*2</f>
        <v>28</v>
      </c>
      <c r="E311" s="180"/>
      <c r="F311" s="181">
        <v>25</v>
      </c>
      <c r="G311" s="180" t="s">
        <v>5</v>
      </c>
      <c r="H311" s="180">
        <v>1500</v>
      </c>
      <c r="I311" s="180" t="s">
        <v>346</v>
      </c>
      <c r="J311" s="182">
        <v>14.1</v>
      </c>
      <c r="K311" s="182">
        <v>14.1</v>
      </c>
      <c r="L311" s="543"/>
      <c r="M311" s="160">
        <v>45017</v>
      </c>
      <c r="N311" s="160"/>
      <c r="O311" s="179" t="e">
        <f>W311/R311</f>
        <v>#DIV/0!</v>
      </c>
      <c r="P311" s="182">
        <v>13.6</v>
      </c>
      <c r="Q311" s="182">
        <v>13.6</v>
      </c>
      <c r="R311" s="136"/>
      <c r="T311" s="78">
        <v>13.6</v>
      </c>
      <c r="U311" s="78">
        <v>13.6</v>
      </c>
    </row>
    <row r="312" spans="1:21">
      <c r="A312" s="77"/>
      <c r="B312" s="104"/>
      <c r="C312" s="78"/>
      <c r="D312" s="78"/>
      <c r="E312" s="78"/>
      <c r="F312" s="87"/>
      <c r="G312" s="78"/>
      <c r="J312" s="78"/>
      <c r="K312" s="78"/>
      <c r="O312" s="78"/>
      <c r="P312" s="78"/>
      <c r="Q312" s="78"/>
    </row>
    <row r="313" spans="1:21">
      <c r="A313" s="513" t="s">
        <v>994</v>
      </c>
      <c r="B313" s="165" t="s">
        <v>969</v>
      </c>
      <c r="C313" s="166">
        <f t="shared" ref="C313:C316" si="72">K313/F313</f>
        <v>1.9456</v>
      </c>
      <c r="D313" s="166">
        <v>5.5</v>
      </c>
      <c r="E313" s="167"/>
      <c r="F313" s="168">
        <v>25</v>
      </c>
      <c r="G313" s="167" t="s">
        <v>5</v>
      </c>
      <c r="H313" s="167">
        <v>1200</v>
      </c>
      <c r="I313" s="167" t="s">
        <v>346</v>
      </c>
      <c r="J313" s="437">
        <f>J192</f>
        <v>52.53</v>
      </c>
      <c r="K313" s="437">
        <f>K192</f>
        <v>48.64</v>
      </c>
      <c r="L313" s="544"/>
      <c r="M313" s="416">
        <v>45292</v>
      </c>
      <c r="N313" s="416"/>
      <c r="O313" s="166" t="e">
        <f t="shared" ref="O313:O316" si="73">W313/R313</f>
        <v>#DIV/0!</v>
      </c>
      <c r="P313" s="437">
        <f>P192</f>
        <v>51.2</v>
      </c>
      <c r="Q313" s="437">
        <f>Q192</f>
        <v>47.41</v>
      </c>
      <c r="T313" s="78">
        <v>49.71</v>
      </c>
      <c r="U313" s="78">
        <v>46.94</v>
      </c>
    </row>
    <row r="314" spans="1:21">
      <c r="A314" s="513"/>
      <c r="B314" s="165" t="s">
        <v>970</v>
      </c>
      <c r="C314" s="166">
        <f t="shared" si="72"/>
        <v>1.9163999999999999</v>
      </c>
      <c r="D314" s="166">
        <v>5.5</v>
      </c>
      <c r="E314" s="167"/>
      <c r="F314" s="168">
        <v>25</v>
      </c>
      <c r="G314" s="167" t="s">
        <v>5</v>
      </c>
      <c r="H314" s="167">
        <v>1200</v>
      </c>
      <c r="I314" s="167" t="s">
        <v>346</v>
      </c>
      <c r="J314" s="437">
        <f>J193</f>
        <v>51.74</v>
      </c>
      <c r="K314" s="437">
        <f>K193</f>
        <v>47.91</v>
      </c>
      <c r="L314" s="544"/>
      <c r="M314" s="416">
        <v>45292</v>
      </c>
      <c r="N314" s="416"/>
      <c r="O314" s="166" t="e">
        <f t="shared" si="73"/>
        <v>#DIV/0!</v>
      </c>
      <c r="P314" s="437">
        <f>P193</f>
        <v>50.43</v>
      </c>
      <c r="Q314" s="437">
        <f>Q193</f>
        <v>46.69</v>
      </c>
      <c r="T314" s="78">
        <v>49</v>
      </c>
      <c r="U314" s="78">
        <v>46.23</v>
      </c>
    </row>
    <row r="315" spans="1:21">
      <c r="A315" s="513"/>
      <c r="B315" s="165" t="s">
        <v>977</v>
      </c>
      <c r="C315" s="166">
        <f t="shared" si="72"/>
        <v>2.3012000000000001</v>
      </c>
      <c r="D315" s="166">
        <v>5.4</v>
      </c>
      <c r="E315" s="167"/>
      <c r="F315" s="168">
        <v>25</v>
      </c>
      <c r="G315" s="167" t="s">
        <v>5</v>
      </c>
      <c r="H315" s="167">
        <v>1200</v>
      </c>
      <c r="I315" s="167" t="s">
        <v>346</v>
      </c>
      <c r="J315" s="437">
        <f>J199</f>
        <v>62.14</v>
      </c>
      <c r="K315" s="437">
        <f>K199</f>
        <v>57.53</v>
      </c>
      <c r="L315" s="544"/>
      <c r="M315" s="416">
        <v>45292</v>
      </c>
      <c r="N315" s="416"/>
      <c r="O315" s="166" t="e">
        <f t="shared" si="73"/>
        <v>#DIV/0!</v>
      </c>
      <c r="P315" s="437">
        <f>P199</f>
        <v>60.56</v>
      </c>
      <c r="Q315" s="437">
        <f>Q199</f>
        <v>56.08</v>
      </c>
      <c r="T315" s="78">
        <v>58.86</v>
      </c>
      <c r="U315" s="78">
        <v>55.52</v>
      </c>
    </row>
    <row r="316" spans="1:21">
      <c r="A316" s="513"/>
      <c r="B316" s="165" t="s">
        <v>978</v>
      </c>
      <c r="C316" s="166">
        <f t="shared" si="72"/>
        <v>2.2568000000000001</v>
      </c>
      <c r="D316" s="166">
        <v>5.4</v>
      </c>
      <c r="E316" s="167"/>
      <c r="F316" s="168">
        <v>25</v>
      </c>
      <c r="G316" s="167" t="s">
        <v>5</v>
      </c>
      <c r="H316" s="167">
        <v>1200</v>
      </c>
      <c r="I316" s="167" t="s">
        <v>346</v>
      </c>
      <c r="J316" s="437">
        <f>J200</f>
        <v>60.94</v>
      </c>
      <c r="K316" s="437">
        <f>K200</f>
        <v>56.42</v>
      </c>
      <c r="L316" s="544"/>
      <c r="M316" s="416">
        <v>45292</v>
      </c>
      <c r="N316" s="416"/>
      <c r="O316" s="166" t="e">
        <f t="shared" si="73"/>
        <v>#DIV/0!</v>
      </c>
      <c r="P316" s="437">
        <f>P200</f>
        <v>59.39</v>
      </c>
      <c r="Q316" s="437">
        <f>Q200</f>
        <v>54.99</v>
      </c>
      <c r="T316" s="78">
        <v>57.61</v>
      </c>
      <c r="U316" s="78">
        <v>54.45</v>
      </c>
    </row>
    <row r="317" spans="1:21">
      <c r="A317" s="77"/>
      <c r="B317" s="104"/>
      <c r="C317" s="78"/>
      <c r="D317" s="78"/>
      <c r="E317" s="78"/>
      <c r="F317" s="87"/>
      <c r="G317" s="78"/>
      <c r="J317" s="78"/>
      <c r="K317" s="78"/>
      <c r="P317" s="78"/>
      <c r="Q317" s="78"/>
    </row>
    <row r="318" spans="1:21">
      <c r="A318" s="77"/>
      <c r="B318" s="104"/>
      <c r="C318" s="78"/>
      <c r="D318" s="78"/>
      <c r="E318" s="78"/>
      <c r="F318" s="87"/>
      <c r="G318" s="78"/>
      <c r="J318" s="78"/>
      <c r="K318" s="78"/>
      <c r="P318" s="78"/>
      <c r="Q318" s="78"/>
    </row>
    <row r="319" spans="1:21">
      <c r="A319" s="77"/>
      <c r="B319" s="104"/>
      <c r="C319" s="78"/>
      <c r="D319" s="78"/>
      <c r="E319" s="78"/>
      <c r="F319" s="87"/>
      <c r="G319" s="78"/>
      <c r="J319" s="78"/>
      <c r="K319" s="78"/>
      <c r="P319" s="78"/>
      <c r="Q319" s="78"/>
    </row>
    <row r="320" spans="1:21">
      <c r="A320" s="77"/>
      <c r="B320" s="104"/>
      <c r="C320" s="78"/>
      <c r="D320" s="78"/>
      <c r="E320" s="78"/>
      <c r="F320" s="87"/>
      <c r="G320" s="78"/>
      <c r="J320" s="78"/>
      <c r="K320" s="78"/>
      <c r="P320" s="78"/>
      <c r="Q320" s="78"/>
    </row>
    <row r="321" spans="1:17">
      <c r="A321" s="77"/>
      <c r="B321" s="104"/>
      <c r="C321" s="78"/>
      <c r="D321" s="78"/>
      <c r="E321" s="78"/>
      <c r="F321" s="87"/>
      <c r="G321" s="78"/>
      <c r="J321" s="78"/>
      <c r="K321" s="78"/>
      <c r="P321" s="78"/>
      <c r="Q321" s="78"/>
    </row>
    <row r="322" spans="1:17">
      <c r="A322" s="77"/>
      <c r="B322" s="104"/>
      <c r="C322" s="78"/>
      <c r="D322" s="78"/>
      <c r="E322" s="78"/>
      <c r="F322" s="87"/>
      <c r="G322" s="78"/>
      <c r="J322" s="78"/>
      <c r="K322" s="78"/>
      <c r="P322" s="78"/>
      <c r="Q322" s="78"/>
    </row>
    <row r="323" spans="1:17">
      <c r="A323" s="77"/>
      <c r="B323" s="104"/>
      <c r="C323" s="78"/>
      <c r="D323" s="78"/>
      <c r="E323" s="78"/>
      <c r="F323" s="87"/>
      <c r="G323" s="78"/>
      <c r="J323" s="78"/>
      <c r="K323" s="78"/>
      <c r="P323" s="78"/>
      <c r="Q323" s="78"/>
    </row>
    <row r="324" spans="1:17">
      <c r="A324" s="77"/>
      <c r="B324" s="104"/>
      <c r="C324" s="78"/>
      <c r="D324" s="78"/>
      <c r="E324" s="78"/>
      <c r="F324" s="87"/>
      <c r="G324" s="78"/>
      <c r="J324" s="78"/>
      <c r="K324" s="78"/>
      <c r="P324" s="78"/>
      <c r="Q324" s="78"/>
    </row>
    <row r="325" spans="1:17">
      <c r="A325" s="77"/>
      <c r="B325" s="104"/>
      <c r="C325" s="78"/>
      <c r="D325" s="78"/>
      <c r="E325" s="78"/>
      <c r="F325" s="87"/>
      <c r="G325" s="78"/>
      <c r="J325" s="78"/>
      <c r="K325" s="78"/>
      <c r="P325" s="78"/>
      <c r="Q325" s="78"/>
    </row>
    <row r="326" spans="1:17">
      <c r="A326" s="77"/>
      <c r="B326" s="104"/>
      <c r="C326" s="78"/>
      <c r="D326" s="78"/>
      <c r="E326" s="78"/>
      <c r="F326" s="87"/>
      <c r="G326" s="78"/>
      <c r="J326" s="78"/>
      <c r="K326" s="78"/>
      <c r="P326" s="78"/>
      <c r="Q326" s="78"/>
    </row>
    <row r="327" spans="1:17">
      <c r="A327" s="77"/>
      <c r="B327" s="104"/>
      <c r="C327" s="78"/>
      <c r="D327" s="78"/>
      <c r="E327" s="78"/>
      <c r="F327" s="87"/>
      <c r="G327" s="78"/>
      <c r="J327" s="78"/>
      <c r="K327" s="78"/>
      <c r="P327" s="78"/>
      <c r="Q327" s="78"/>
    </row>
    <row r="328" spans="1:17">
      <c r="A328" s="77"/>
      <c r="B328" s="104"/>
      <c r="C328" s="78"/>
      <c r="D328" s="78"/>
      <c r="E328" s="78"/>
      <c r="F328" s="87"/>
      <c r="G328" s="78"/>
      <c r="J328" s="78"/>
      <c r="K328" s="78"/>
      <c r="P328" s="78"/>
      <c r="Q328" s="78"/>
    </row>
    <row r="329" spans="1:17">
      <c r="A329" s="77"/>
      <c r="B329" s="104"/>
      <c r="C329" s="78"/>
      <c r="D329" s="78"/>
      <c r="E329" s="78"/>
      <c r="F329" s="87"/>
      <c r="G329" s="78"/>
      <c r="J329" s="78"/>
      <c r="K329" s="78"/>
      <c r="P329" s="78"/>
      <c r="Q329" s="78"/>
    </row>
    <row r="330" spans="1:17">
      <c r="A330" s="77"/>
      <c r="B330" s="104"/>
      <c r="C330" s="78"/>
      <c r="D330" s="78"/>
      <c r="E330" s="78"/>
      <c r="F330" s="87"/>
      <c r="G330" s="78"/>
      <c r="J330" s="78"/>
      <c r="K330" s="78"/>
      <c r="P330" s="78"/>
      <c r="Q330" s="78"/>
    </row>
    <row r="331" spans="1:17">
      <c r="A331" s="77"/>
      <c r="B331" s="104"/>
      <c r="C331" s="78"/>
      <c r="D331" s="78"/>
      <c r="E331" s="78"/>
      <c r="F331" s="87"/>
      <c r="G331" s="78"/>
      <c r="J331" s="78"/>
      <c r="K331" s="78"/>
      <c r="P331" s="78"/>
      <c r="Q331" s="78"/>
    </row>
    <row r="332" spans="1:17">
      <c r="A332" s="77"/>
      <c r="B332" s="104"/>
      <c r="C332" s="78"/>
      <c r="D332" s="78"/>
      <c r="E332" s="78"/>
      <c r="F332" s="87"/>
      <c r="G332" s="78"/>
      <c r="J332" s="78"/>
      <c r="K332" s="78"/>
      <c r="P332" s="78"/>
      <c r="Q332" s="78"/>
    </row>
    <row r="333" spans="1:17">
      <c r="A333" s="77"/>
      <c r="B333" s="104"/>
      <c r="C333" s="78"/>
      <c r="D333" s="78"/>
      <c r="E333" s="78"/>
      <c r="F333" s="87"/>
      <c r="G333" s="78"/>
      <c r="J333" s="78"/>
      <c r="K333" s="78"/>
      <c r="P333" s="78"/>
      <c r="Q333" s="78"/>
    </row>
    <row r="334" spans="1:17">
      <c r="A334" s="77"/>
      <c r="B334" s="104"/>
      <c r="C334" s="78"/>
      <c r="D334" s="78"/>
      <c r="E334" s="78"/>
      <c r="F334" s="87"/>
      <c r="G334" s="78"/>
      <c r="J334" s="78"/>
      <c r="K334" s="78"/>
      <c r="P334" s="78"/>
      <c r="Q334" s="78"/>
    </row>
    <row r="335" spans="1:17">
      <c r="A335" s="77"/>
      <c r="B335" s="104"/>
      <c r="C335" s="78"/>
      <c r="D335" s="78"/>
      <c r="E335" s="78"/>
      <c r="F335" s="87"/>
      <c r="G335" s="78"/>
      <c r="J335" s="78"/>
      <c r="K335" s="78"/>
      <c r="P335" s="78"/>
      <c r="Q335" s="78"/>
    </row>
    <row r="336" spans="1:17">
      <c r="A336" s="77"/>
      <c r="B336" s="104"/>
      <c r="C336" s="78"/>
      <c r="D336" s="78"/>
      <c r="E336" s="78"/>
      <c r="F336" s="87"/>
      <c r="G336" s="78"/>
      <c r="J336" s="78"/>
      <c r="K336" s="78"/>
      <c r="P336" s="78"/>
      <c r="Q336" s="78"/>
    </row>
    <row r="337" spans="1:17">
      <c r="A337" s="77"/>
      <c r="B337" s="104"/>
      <c r="C337" s="78"/>
      <c r="D337" s="78"/>
      <c r="E337" s="78"/>
      <c r="F337" s="87"/>
      <c r="G337" s="78"/>
      <c r="J337" s="78"/>
      <c r="K337" s="78"/>
      <c r="P337" s="78"/>
      <c r="Q337" s="78"/>
    </row>
    <row r="338" spans="1:17">
      <c r="A338" s="77"/>
      <c r="B338" s="104"/>
      <c r="C338" s="78"/>
      <c r="D338" s="78"/>
      <c r="E338" s="78"/>
      <c r="F338" s="87"/>
      <c r="G338" s="78"/>
      <c r="J338" s="78"/>
      <c r="K338" s="78"/>
      <c r="P338" s="78"/>
      <c r="Q338" s="78"/>
    </row>
    <row r="339" spans="1:17">
      <c r="A339" s="77"/>
      <c r="B339" s="104"/>
      <c r="C339" s="78"/>
      <c r="D339" s="78"/>
      <c r="E339" s="78"/>
      <c r="F339" s="87"/>
      <c r="G339" s="78"/>
      <c r="J339" s="78"/>
      <c r="K339" s="78"/>
      <c r="P339" s="78"/>
      <c r="Q339" s="78"/>
    </row>
    <row r="340" spans="1:17">
      <c r="A340" s="77"/>
      <c r="B340" s="104"/>
      <c r="C340" s="78"/>
      <c r="D340" s="78"/>
      <c r="E340" s="78"/>
      <c r="F340" s="87"/>
      <c r="G340" s="78"/>
      <c r="J340" s="78"/>
      <c r="K340" s="78"/>
      <c r="P340" s="78"/>
      <c r="Q340" s="78"/>
    </row>
    <row r="341" spans="1:17">
      <c r="A341" s="77"/>
      <c r="B341" s="104"/>
      <c r="C341" s="78"/>
      <c r="D341" s="78"/>
      <c r="E341" s="78"/>
      <c r="F341" s="87"/>
      <c r="G341" s="78"/>
      <c r="J341" s="78"/>
      <c r="K341" s="78"/>
      <c r="P341" s="78"/>
      <c r="Q341" s="78"/>
    </row>
    <row r="342" spans="1:17">
      <c r="A342" s="77"/>
      <c r="B342" s="104"/>
      <c r="C342" s="78"/>
      <c r="D342" s="78"/>
      <c r="E342" s="78"/>
      <c r="F342" s="87"/>
      <c r="G342" s="78"/>
      <c r="J342" s="78"/>
      <c r="K342" s="78"/>
      <c r="P342" s="78"/>
      <c r="Q342" s="78"/>
    </row>
    <row r="343" spans="1:17">
      <c r="A343" s="77"/>
      <c r="B343" s="104"/>
      <c r="C343" s="78"/>
      <c r="D343" s="78"/>
      <c r="E343" s="78"/>
      <c r="F343" s="87"/>
      <c r="G343" s="78"/>
      <c r="J343" s="78"/>
      <c r="K343" s="78"/>
      <c r="P343" s="78"/>
      <c r="Q343" s="78"/>
    </row>
    <row r="344" spans="1:17">
      <c r="A344" s="77"/>
      <c r="B344" s="104"/>
      <c r="C344" s="78"/>
      <c r="D344" s="78"/>
      <c r="E344" s="78"/>
      <c r="F344" s="87"/>
      <c r="G344" s="78"/>
      <c r="J344" s="78"/>
      <c r="K344" s="78"/>
      <c r="P344" s="78"/>
      <c r="Q344" s="78"/>
    </row>
    <row r="345" spans="1:17">
      <c r="A345" s="77"/>
      <c r="B345" s="104"/>
      <c r="C345" s="78"/>
      <c r="D345" s="78"/>
      <c r="E345" s="78"/>
      <c r="F345" s="87"/>
      <c r="G345" s="78"/>
      <c r="J345" s="78"/>
      <c r="K345" s="78"/>
      <c r="P345" s="78"/>
      <c r="Q345" s="78"/>
    </row>
    <row r="346" spans="1:17">
      <c r="A346" s="77"/>
      <c r="B346" s="104"/>
      <c r="C346" s="78"/>
      <c r="D346" s="78"/>
      <c r="E346" s="78"/>
      <c r="F346" s="87"/>
      <c r="G346" s="78"/>
      <c r="J346" s="78"/>
      <c r="K346" s="78"/>
      <c r="P346" s="78"/>
      <c r="Q346" s="78"/>
    </row>
    <row r="347" spans="1:17">
      <c r="A347" s="77"/>
      <c r="B347" s="104"/>
      <c r="C347" s="78"/>
      <c r="D347" s="78"/>
      <c r="E347" s="78"/>
      <c r="F347" s="87"/>
      <c r="G347" s="78"/>
      <c r="J347" s="78"/>
      <c r="K347" s="78"/>
      <c r="P347" s="78"/>
      <c r="Q347" s="78"/>
    </row>
    <row r="348" spans="1:17">
      <c r="A348" s="77"/>
      <c r="B348" s="104"/>
      <c r="C348" s="78"/>
      <c r="D348" s="78"/>
      <c r="E348" s="78"/>
      <c r="F348" s="87"/>
      <c r="G348" s="78"/>
      <c r="J348" s="78"/>
      <c r="K348" s="78"/>
      <c r="P348" s="78"/>
      <c r="Q348" s="78"/>
    </row>
    <row r="349" spans="1:17">
      <c r="A349" s="77"/>
      <c r="B349" s="104"/>
      <c r="C349" s="78"/>
      <c r="D349" s="78"/>
      <c r="E349" s="78"/>
      <c r="F349" s="87"/>
      <c r="G349" s="78"/>
      <c r="J349" s="78"/>
      <c r="K349" s="78"/>
      <c r="P349" s="78"/>
      <c r="Q349" s="78"/>
    </row>
    <row r="350" spans="1:17">
      <c r="A350" s="77"/>
      <c r="B350" s="104"/>
      <c r="C350" s="78"/>
      <c r="D350" s="78"/>
      <c r="E350" s="78"/>
      <c r="F350" s="87"/>
      <c r="G350" s="78"/>
      <c r="J350" s="78"/>
      <c r="K350" s="78"/>
      <c r="P350" s="78"/>
      <c r="Q350" s="78"/>
    </row>
    <row r="351" spans="1:17">
      <c r="A351" s="77"/>
      <c r="B351" s="104"/>
      <c r="C351" s="78"/>
      <c r="D351" s="78"/>
      <c r="E351" s="78"/>
      <c r="F351" s="87"/>
      <c r="G351" s="78"/>
      <c r="J351" s="78"/>
      <c r="K351" s="78"/>
      <c r="P351" s="78"/>
      <c r="Q351" s="78"/>
    </row>
    <row r="352" spans="1:17">
      <c r="A352" s="77"/>
      <c r="B352" s="104"/>
      <c r="C352" s="78"/>
      <c r="D352" s="78"/>
      <c r="E352" s="78"/>
      <c r="F352" s="87"/>
      <c r="G352" s="78"/>
      <c r="J352" s="78"/>
      <c r="K352" s="78"/>
      <c r="P352" s="78"/>
      <c r="Q352" s="78"/>
    </row>
    <row r="353" spans="1:17">
      <c r="A353" s="77"/>
      <c r="B353" s="104"/>
      <c r="C353" s="78"/>
      <c r="D353" s="78"/>
      <c r="E353" s="78"/>
      <c r="F353" s="87"/>
      <c r="G353" s="78"/>
      <c r="J353" s="78"/>
      <c r="K353" s="78"/>
      <c r="P353" s="78"/>
      <c r="Q353" s="78"/>
    </row>
    <row r="354" spans="1:17">
      <c r="A354" s="77"/>
      <c r="B354" s="104"/>
      <c r="C354" s="78"/>
      <c r="D354" s="78"/>
      <c r="E354" s="78"/>
      <c r="F354" s="87"/>
      <c r="G354" s="78"/>
      <c r="J354" s="78"/>
      <c r="K354" s="78"/>
      <c r="P354" s="78"/>
      <c r="Q354" s="78"/>
    </row>
    <row r="355" spans="1:17">
      <c r="A355" s="77"/>
      <c r="B355" s="104"/>
      <c r="C355" s="78"/>
      <c r="D355" s="78"/>
      <c r="E355" s="78"/>
      <c r="F355" s="87"/>
      <c r="G355" s="78"/>
      <c r="J355" s="78"/>
      <c r="K355" s="78"/>
      <c r="P355" s="78"/>
      <c r="Q355" s="78"/>
    </row>
    <row r="356" spans="1:17">
      <c r="A356" s="77"/>
      <c r="B356" s="104"/>
      <c r="C356" s="78"/>
      <c r="D356" s="78"/>
      <c r="E356" s="78"/>
      <c r="F356" s="87"/>
      <c r="G356" s="78"/>
      <c r="J356" s="78"/>
      <c r="K356" s="78"/>
      <c r="P356" s="78"/>
      <c r="Q356" s="78"/>
    </row>
    <row r="357" spans="1:17">
      <c r="A357" s="77"/>
      <c r="B357" s="104"/>
      <c r="C357" s="78"/>
      <c r="D357" s="78"/>
      <c r="E357" s="78"/>
      <c r="F357" s="87"/>
      <c r="G357" s="78"/>
      <c r="J357" s="78"/>
      <c r="K357" s="78"/>
      <c r="P357" s="78"/>
      <c r="Q357" s="78"/>
    </row>
    <row r="358" spans="1:17">
      <c r="A358" s="77"/>
      <c r="B358" s="104"/>
      <c r="C358" s="78"/>
      <c r="D358" s="78"/>
      <c r="E358" s="78"/>
      <c r="F358" s="87"/>
      <c r="G358" s="78"/>
      <c r="J358" s="78"/>
      <c r="K358" s="78"/>
      <c r="P358" s="78"/>
      <c r="Q358" s="78"/>
    </row>
    <row r="359" spans="1:17">
      <c r="A359" s="77"/>
      <c r="B359" s="104"/>
      <c r="C359" s="78"/>
      <c r="D359" s="78"/>
      <c r="E359" s="78"/>
      <c r="F359" s="87"/>
      <c r="G359" s="78"/>
      <c r="J359" s="78"/>
      <c r="K359" s="78"/>
      <c r="P359" s="78"/>
      <c r="Q359" s="78"/>
    </row>
    <row r="360" spans="1:17">
      <c r="A360" s="77"/>
      <c r="B360" s="104"/>
      <c r="C360" s="78"/>
      <c r="D360" s="78"/>
      <c r="E360" s="78"/>
      <c r="F360" s="87"/>
      <c r="G360" s="78"/>
      <c r="J360" s="78"/>
      <c r="K360" s="78"/>
      <c r="P360" s="78"/>
      <c r="Q360" s="78"/>
    </row>
    <row r="361" spans="1:17">
      <c r="A361" s="77"/>
      <c r="B361" s="104"/>
      <c r="C361" s="78"/>
      <c r="D361" s="78"/>
      <c r="E361" s="78"/>
      <c r="F361" s="87"/>
      <c r="G361" s="78"/>
      <c r="J361" s="78"/>
      <c r="K361" s="78"/>
      <c r="P361" s="78"/>
      <c r="Q361" s="78"/>
    </row>
    <row r="362" spans="1:17">
      <c r="A362" s="77"/>
      <c r="B362" s="104"/>
      <c r="C362" s="78"/>
      <c r="D362" s="78"/>
      <c r="E362" s="78"/>
      <c r="F362" s="87"/>
      <c r="G362" s="78"/>
      <c r="J362" s="78"/>
      <c r="K362" s="78"/>
      <c r="P362" s="78"/>
      <c r="Q362" s="78"/>
    </row>
    <row r="363" spans="1:17">
      <c r="A363" s="77"/>
      <c r="B363" s="104"/>
      <c r="C363" s="78"/>
      <c r="D363" s="78"/>
      <c r="E363" s="78"/>
      <c r="F363" s="87"/>
      <c r="G363" s="78"/>
      <c r="J363" s="78"/>
      <c r="K363" s="78"/>
      <c r="P363" s="78"/>
      <c r="Q363" s="78"/>
    </row>
    <row r="364" spans="1:17">
      <c r="A364" s="77"/>
      <c r="B364" s="104"/>
      <c r="C364" s="78"/>
      <c r="D364" s="78"/>
      <c r="E364" s="78"/>
      <c r="F364" s="87"/>
      <c r="G364" s="78"/>
      <c r="J364" s="78"/>
      <c r="K364" s="78"/>
      <c r="P364" s="78"/>
      <c r="Q364" s="78"/>
    </row>
    <row r="365" spans="1:17">
      <c r="A365" s="77"/>
      <c r="B365" s="104"/>
      <c r="C365" s="78"/>
      <c r="D365" s="78"/>
      <c r="E365" s="78"/>
      <c r="F365" s="87"/>
      <c r="G365" s="78"/>
      <c r="J365" s="78"/>
      <c r="K365" s="78"/>
      <c r="P365" s="78"/>
      <c r="Q365" s="78"/>
    </row>
    <row r="366" spans="1:17">
      <c r="A366" s="77"/>
      <c r="B366" s="104"/>
      <c r="C366" s="78"/>
      <c r="D366" s="78"/>
      <c r="E366" s="78"/>
      <c r="F366" s="87"/>
      <c r="G366" s="78"/>
      <c r="J366" s="78"/>
      <c r="K366" s="78"/>
      <c r="P366" s="78"/>
      <c r="Q366" s="78"/>
    </row>
    <row r="367" spans="1:17">
      <c r="A367" s="77"/>
      <c r="B367" s="104"/>
      <c r="C367" s="78"/>
      <c r="D367" s="78"/>
      <c r="E367" s="78"/>
      <c r="F367" s="87"/>
      <c r="G367" s="78"/>
      <c r="J367" s="78"/>
      <c r="K367" s="78"/>
      <c r="P367" s="78"/>
      <c r="Q367" s="78"/>
    </row>
    <row r="368" spans="1:17">
      <c r="A368" s="77"/>
      <c r="B368" s="104"/>
      <c r="C368" s="78"/>
      <c r="D368" s="78"/>
      <c r="E368" s="78"/>
      <c r="F368" s="87"/>
      <c r="G368" s="78"/>
      <c r="J368" s="78"/>
      <c r="K368" s="78"/>
      <c r="P368" s="78"/>
      <c r="Q368" s="78"/>
    </row>
    <row r="369" spans="1:17">
      <c r="A369" s="77"/>
      <c r="B369" s="104"/>
      <c r="C369" s="78"/>
      <c r="D369" s="78"/>
      <c r="E369" s="78"/>
      <c r="F369" s="87"/>
      <c r="G369" s="78"/>
      <c r="J369" s="78"/>
      <c r="K369" s="78"/>
      <c r="P369" s="78"/>
      <c r="Q369" s="78"/>
    </row>
    <row r="370" spans="1:17">
      <c r="A370" s="77"/>
      <c r="B370" s="104"/>
      <c r="C370" s="78"/>
      <c r="D370" s="78"/>
      <c r="E370" s="78"/>
      <c r="F370" s="87"/>
      <c r="G370" s="78"/>
      <c r="J370" s="78"/>
      <c r="K370" s="78"/>
      <c r="P370" s="78"/>
      <c r="Q370" s="78"/>
    </row>
    <row r="371" spans="1:17">
      <c r="A371" s="77"/>
      <c r="B371" s="104"/>
      <c r="C371" s="78"/>
      <c r="D371" s="78"/>
      <c r="E371" s="78"/>
      <c r="F371" s="87"/>
      <c r="G371" s="78"/>
      <c r="J371" s="78"/>
      <c r="K371" s="78"/>
      <c r="P371" s="78"/>
      <c r="Q371" s="78"/>
    </row>
    <row r="372" spans="1:17">
      <c r="A372" s="77"/>
      <c r="B372" s="104"/>
      <c r="C372" s="78"/>
      <c r="D372" s="78"/>
      <c r="E372" s="78"/>
      <c r="F372" s="87"/>
      <c r="G372" s="78"/>
      <c r="J372" s="78"/>
      <c r="K372" s="78"/>
      <c r="P372" s="78"/>
      <c r="Q372" s="78"/>
    </row>
    <row r="373" spans="1:17">
      <c r="A373" s="77"/>
      <c r="B373" s="104"/>
      <c r="C373" s="78"/>
      <c r="D373" s="78"/>
      <c r="E373" s="78"/>
      <c r="F373" s="87"/>
      <c r="G373" s="78"/>
      <c r="J373" s="78"/>
      <c r="K373" s="78"/>
      <c r="P373" s="78"/>
      <c r="Q373" s="78"/>
    </row>
    <row r="374" spans="1:17">
      <c r="A374" s="77"/>
      <c r="B374" s="104"/>
      <c r="C374" s="78"/>
      <c r="D374" s="78"/>
      <c r="E374" s="78"/>
      <c r="F374" s="87"/>
      <c r="G374" s="78"/>
      <c r="J374" s="78"/>
      <c r="K374" s="78"/>
      <c r="P374" s="78"/>
      <c r="Q374" s="78"/>
    </row>
    <row r="375" spans="1:17">
      <c r="A375" s="77"/>
      <c r="B375" s="104"/>
      <c r="C375" s="78"/>
      <c r="D375" s="78"/>
      <c r="E375" s="78"/>
      <c r="F375" s="87"/>
      <c r="G375" s="78"/>
      <c r="J375" s="78"/>
      <c r="K375" s="78"/>
      <c r="P375" s="78"/>
      <c r="Q375" s="78"/>
    </row>
    <row r="376" spans="1:17">
      <c r="A376" s="77"/>
      <c r="B376" s="104"/>
      <c r="C376" s="78"/>
      <c r="D376" s="78"/>
      <c r="E376" s="78"/>
      <c r="F376" s="87"/>
      <c r="G376" s="78"/>
      <c r="J376" s="78"/>
      <c r="K376" s="78"/>
      <c r="P376" s="78"/>
      <c r="Q376" s="78"/>
    </row>
    <row r="377" spans="1:17">
      <c r="A377" s="77"/>
      <c r="B377" s="104"/>
      <c r="C377" s="78"/>
      <c r="D377" s="78"/>
      <c r="E377" s="78"/>
      <c r="F377" s="87"/>
      <c r="G377" s="78"/>
      <c r="J377" s="78"/>
      <c r="K377" s="78"/>
      <c r="P377" s="78"/>
      <c r="Q377" s="78"/>
    </row>
    <row r="378" spans="1:17">
      <c r="A378" s="77"/>
      <c r="B378" s="104"/>
      <c r="C378" s="78"/>
      <c r="D378" s="78"/>
      <c r="E378" s="78"/>
      <c r="F378" s="87"/>
      <c r="G378" s="78"/>
      <c r="J378" s="78"/>
      <c r="K378" s="78"/>
      <c r="P378" s="78"/>
      <c r="Q378" s="78"/>
    </row>
    <row r="379" spans="1:17">
      <c r="A379" s="77"/>
      <c r="B379" s="104"/>
      <c r="C379" s="78"/>
      <c r="D379" s="78"/>
      <c r="E379" s="78"/>
      <c r="F379" s="87"/>
      <c r="G379" s="78"/>
      <c r="J379" s="78"/>
      <c r="K379" s="78"/>
      <c r="P379" s="78"/>
      <c r="Q379" s="78"/>
    </row>
    <row r="380" spans="1:17">
      <c r="A380" s="77"/>
      <c r="B380" s="104"/>
      <c r="C380" s="78"/>
      <c r="D380" s="78"/>
      <c r="E380" s="78"/>
      <c r="F380" s="87"/>
      <c r="G380" s="78"/>
      <c r="J380" s="78"/>
      <c r="K380" s="78"/>
      <c r="P380" s="78"/>
      <c r="Q380" s="78"/>
    </row>
    <row r="381" spans="1:17">
      <c r="A381" s="77"/>
      <c r="B381" s="104"/>
      <c r="C381" s="78"/>
      <c r="D381" s="78"/>
      <c r="E381" s="78"/>
      <c r="F381" s="87"/>
      <c r="G381" s="78"/>
      <c r="J381" s="78"/>
      <c r="K381" s="78"/>
      <c r="P381" s="78"/>
      <c r="Q381" s="78"/>
    </row>
    <row r="382" spans="1:17">
      <c r="A382" s="77"/>
      <c r="B382" s="104"/>
      <c r="C382" s="78"/>
      <c r="D382" s="78"/>
      <c r="E382" s="78"/>
      <c r="F382" s="87"/>
      <c r="G382" s="78"/>
      <c r="J382" s="78"/>
      <c r="K382" s="78"/>
      <c r="P382" s="78"/>
      <c r="Q382" s="78"/>
    </row>
    <row r="383" spans="1:17">
      <c r="A383" s="77"/>
      <c r="B383" s="104"/>
      <c r="C383" s="78"/>
      <c r="D383" s="78"/>
      <c r="E383" s="78"/>
      <c r="F383" s="87"/>
      <c r="G383" s="78"/>
      <c r="J383" s="78"/>
      <c r="K383" s="78"/>
      <c r="P383" s="78"/>
      <c r="Q383" s="78"/>
    </row>
    <row r="384" spans="1:17">
      <c r="A384" s="77"/>
      <c r="B384" s="104"/>
      <c r="C384" s="78"/>
      <c r="D384" s="78"/>
      <c r="E384" s="78"/>
      <c r="F384" s="87"/>
      <c r="G384" s="78"/>
      <c r="J384" s="78"/>
      <c r="K384" s="78"/>
      <c r="P384" s="78"/>
      <c r="Q384" s="78"/>
    </row>
    <row r="385" spans="1:17">
      <c r="A385" s="77"/>
      <c r="B385" s="104"/>
      <c r="C385" s="78"/>
      <c r="D385" s="78"/>
      <c r="E385" s="78"/>
      <c r="F385" s="87"/>
      <c r="G385" s="78"/>
      <c r="J385" s="78"/>
      <c r="K385" s="78"/>
      <c r="P385" s="78"/>
      <c r="Q385" s="78"/>
    </row>
    <row r="386" spans="1:17">
      <c r="A386" s="77"/>
      <c r="B386" s="104"/>
      <c r="C386" s="78"/>
      <c r="D386" s="78"/>
      <c r="E386" s="78"/>
      <c r="F386" s="87"/>
      <c r="G386" s="78"/>
      <c r="J386" s="78"/>
      <c r="K386" s="78"/>
      <c r="P386" s="78"/>
      <c r="Q386" s="78"/>
    </row>
    <row r="387" spans="1:17">
      <c r="A387" s="77"/>
      <c r="B387" s="104"/>
      <c r="C387" s="78"/>
      <c r="D387" s="78"/>
      <c r="E387" s="78"/>
      <c r="F387" s="87"/>
      <c r="G387" s="78"/>
      <c r="J387" s="78"/>
      <c r="K387" s="78"/>
      <c r="P387" s="78"/>
      <c r="Q387" s="78"/>
    </row>
    <row r="388" spans="1:17">
      <c r="A388" s="77"/>
      <c r="B388" s="104"/>
      <c r="C388" s="78"/>
      <c r="D388" s="78"/>
      <c r="E388" s="78"/>
      <c r="F388" s="87"/>
      <c r="G388" s="78"/>
      <c r="J388" s="78"/>
      <c r="K388" s="78"/>
      <c r="P388" s="78"/>
      <c r="Q388" s="78"/>
    </row>
    <row r="389" spans="1:17">
      <c r="A389" s="77"/>
      <c r="B389" s="104"/>
      <c r="C389" s="78"/>
      <c r="D389" s="78"/>
      <c r="E389" s="78"/>
      <c r="F389" s="87"/>
      <c r="G389" s="78"/>
      <c r="J389" s="78"/>
      <c r="K389" s="78"/>
      <c r="P389" s="78"/>
      <c r="Q389" s="78"/>
    </row>
    <row r="390" spans="1:17">
      <c r="A390" s="77"/>
      <c r="B390" s="104"/>
      <c r="C390" s="78"/>
      <c r="D390" s="78"/>
      <c r="E390" s="78"/>
      <c r="F390" s="87"/>
      <c r="G390" s="78"/>
      <c r="J390" s="78"/>
      <c r="K390" s="78"/>
      <c r="P390" s="78"/>
      <c r="Q390" s="78"/>
    </row>
    <row r="391" spans="1:17">
      <c r="A391" s="77"/>
      <c r="B391" s="104"/>
      <c r="C391" s="78"/>
      <c r="D391" s="78"/>
      <c r="E391" s="78"/>
      <c r="F391" s="87"/>
      <c r="G391" s="78"/>
      <c r="J391" s="78"/>
      <c r="K391" s="78"/>
      <c r="P391" s="78"/>
      <c r="Q391" s="78"/>
    </row>
    <row r="392" spans="1:17">
      <c r="A392" s="77"/>
      <c r="B392" s="104"/>
      <c r="C392" s="78"/>
      <c r="D392" s="78"/>
      <c r="E392" s="78"/>
      <c r="F392" s="87"/>
      <c r="G392" s="78"/>
      <c r="J392" s="78"/>
      <c r="K392" s="78"/>
      <c r="P392" s="78"/>
      <c r="Q392" s="78"/>
    </row>
    <row r="393" spans="1:17">
      <c r="A393" s="77"/>
      <c r="B393" s="104"/>
      <c r="C393" s="78"/>
      <c r="D393" s="78"/>
      <c r="E393" s="78"/>
      <c r="F393" s="87"/>
      <c r="G393" s="78"/>
      <c r="J393" s="78"/>
      <c r="K393" s="78"/>
      <c r="P393" s="78"/>
      <c r="Q393" s="78"/>
    </row>
    <row r="394" spans="1:17">
      <c r="A394" s="77"/>
      <c r="B394" s="104"/>
      <c r="C394" s="78"/>
      <c r="D394" s="78"/>
      <c r="E394" s="78"/>
      <c r="F394" s="87"/>
      <c r="G394" s="78"/>
      <c r="J394" s="78"/>
      <c r="K394" s="78"/>
      <c r="P394" s="78"/>
      <c r="Q394" s="78"/>
    </row>
    <row r="395" spans="1:17">
      <c r="A395" s="77"/>
      <c r="B395" s="104"/>
      <c r="C395" s="78"/>
      <c r="D395" s="78"/>
      <c r="E395" s="78"/>
      <c r="F395" s="87"/>
      <c r="G395" s="78"/>
      <c r="J395" s="78"/>
      <c r="K395" s="78"/>
      <c r="P395" s="78"/>
      <c r="Q395" s="78"/>
    </row>
    <row r="396" spans="1:17">
      <c r="A396" s="77"/>
      <c r="B396" s="104"/>
      <c r="C396" s="78"/>
      <c r="D396" s="78"/>
      <c r="E396" s="78"/>
      <c r="F396" s="87"/>
      <c r="G396" s="78"/>
      <c r="J396" s="78"/>
      <c r="K396" s="78"/>
      <c r="P396" s="78"/>
      <c r="Q396" s="78"/>
    </row>
    <row r="397" spans="1:17">
      <c r="A397" s="77"/>
      <c r="B397" s="104"/>
      <c r="C397" s="78"/>
      <c r="D397" s="78"/>
      <c r="E397" s="78"/>
      <c r="F397" s="87"/>
      <c r="G397" s="78"/>
      <c r="J397" s="78"/>
      <c r="K397" s="78"/>
      <c r="P397" s="78"/>
      <c r="Q397" s="78"/>
    </row>
    <row r="398" spans="1:17">
      <c r="A398" s="77"/>
      <c r="B398" s="104"/>
      <c r="C398" s="78"/>
      <c r="D398" s="78"/>
      <c r="E398" s="78"/>
      <c r="F398" s="87"/>
      <c r="G398" s="78"/>
      <c r="J398" s="78"/>
      <c r="K398" s="78"/>
      <c r="P398" s="78"/>
      <c r="Q398" s="78"/>
    </row>
    <row r="399" spans="1:17">
      <c r="A399" s="77"/>
      <c r="B399" s="104"/>
      <c r="C399" s="78"/>
      <c r="D399" s="78"/>
      <c r="E399" s="78"/>
      <c r="F399" s="87"/>
      <c r="G399" s="78"/>
      <c r="J399" s="78"/>
      <c r="K399" s="78"/>
      <c r="P399" s="78"/>
      <c r="Q399" s="78"/>
    </row>
    <row r="400" spans="1:17">
      <c r="A400" s="77"/>
      <c r="B400" s="104"/>
      <c r="C400" s="78"/>
      <c r="D400" s="78"/>
      <c r="E400" s="78"/>
      <c r="F400" s="87"/>
      <c r="G400" s="78"/>
      <c r="J400" s="78"/>
      <c r="K400" s="78"/>
      <c r="P400" s="78"/>
      <c r="Q400" s="78"/>
    </row>
    <row r="401" spans="1:17">
      <c r="A401" s="77"/>
      <c r="B401" s="104"/>
      <c r="C401" s="78"/>
      <c r="D401" s="78"/>
      <c r="E401" s="78"/>
      <c r="F401" s="87"/>
      <c r="G401" s="78"/>
      <c r="J401" s="78"/>
      <c r="K401" s="78"/>
      <c r="P401" s="78"/>
      <c r="Q401" s="78"/>
    </row>
    <row r="402" spans="1:17">
      <c r="A402" s="77"/>
      <c r="B402" s="104"/>
      <c r="C402" s="78"/>
      <c r="D402" s="78"/>
      <c r="E402" s="78"/>
      <c r="F402" s="87"/>
      <c r="G402" s="78"/>
      <c r="J402" s="78"/>
      <c r="K402" s="78"/>
      <c r="P402" s="78"/>
      <c r="Q402" s="78"/>
    </row>
    <row r="403" spans="1:17">
      <c r="A403" s="77"/>
      <c r="B403" s="104"/>
      <c r="C403" s="78"/>
      <c r="D403" s="78"/>
      <c r="E403" s="78"/>
      <c r="F403" s="87"/>
      <c r="G403" s="78"/>
      <c r="J403" s="78"/>
      <c r="K403" s="78"/>
      <c r="P403" s="78"/>
      <c r="Q403" s="78"/>
    </row>
    <row r="404" spans="1:17">
      <c r="A404" s="77"/>
      <c r="B404" s="104"/>
      <c r="C404" s="78"/>
      <c r="D404" s="78"/>
      <c r="E404" s="78"/>
      <c r="F404" s="87"/>
      <c r="G404" s="78"/>
      <c r="J404" s="78"/>
      <c r="K404" s="78"/>
      <c r="P404" s="78"/>
      <c r="Q404" s="78"/>
    </row>
    <row r="405" spans="1:17">
      <c r="A405" s="77"/>
      <c r="B405" s="104"/>
      <c r="C405" s="78"/>
      <c r="D405" s="78"/>
      <c r="E405" s="78"/>
      <c r="F405" s="87"/>
      <c r="G405" s="78"/>
      <c r="J405" s="78"/>
      <c r="K405" s="78"/>
      <c r="P405" s="78"/>
      <c r="Q405" s="78"/>
    </row>
    <row r="406" spans="1:17">
      <c r="A406" s="77"/>
      <c r="B406" s="104"/>
      <c r="C406" s="78"/>
      <c r="D406" s="78"/>
      <c r="E406" s="78"/>
      <c r="F406" s="87"/>
      <c r="G406" s="78"/>
      <c r="J406" s="78"/>
      <c r="K406" s="78"/>
      <c r="P406" s="78"/>
      <c r="Q406" s="78"/>
    </row>
    <row r="407" spans="1:17">
      <c r="A407" s="77"/>
      <c r="B407" s="104"/>
      <c r="C407" s="78"/>
      <c r="D407" s="78"/>
      <c r="E407" s="78"/>
      <c r="F407" s="87"/>
      <c r="G407" s="78"/>
      <c r="J407" s="78"/>
      <c r="K407" s="78"/>
      <c r="P407" s="78"/>
      <c r="Q407" s="78"/>
    </row>
    <row r="408" spans="1:17">
      <c r="A408" s="77"/>
      <c r="B408" s="104"/>
      <c r="C408" s="78"/>
      <c r="D408" s="78"/>
      <c r="E408" s="78"/>
      <c r="F408" s="87"/>
      <c r="G408" s="78"/>
      <c r="J408" s="78"/>
      <c r="K408" s="78"/>
      <c r="P408" s="78"/>
      <c r="Q408" s="78"/>
    </row>
    <row r="409" spans="1:17">
      <c r="A409" s="77"/>
      <c r="B409" s="104"/>
      <c r="C409" s="78"/>
      <c r="D409" s="78"/>
      <c r="E409" s="78"/>
      <c r="F409" s="87"/>
      <c r="G409" s="78"/>
      <c r="J409" s="78"/>
      <c r="K409" s="78"/>
      <c r="P409" s="78"/>
      <c r="Q409" s="78"/>
    </row>
    <row r="410" spans="1:17">
      <c r="A410" s="77"/>
      <c r="B410" s="104"/>
      <c r="C410" s="78"/>
      <c r="D410" s="78"/>
      <c r="E410" s="78"/>
      <c r="F410" s="87"/>
      <c r="G410" s="78"/>
      <c r="J410" s="78"/>
      <c r="K410" s="78"/>
      <c r="P410" s="78"/>
      <c r="Q410" s="78"/>
    </row>
    <row r="411" spans="1:17">
      <c r="A411" s="77"/>
      <c r="B411" s="104"/>
      <c r="C411" s="78"/>
      <c r="D411" s="78"/>
      <c r="E411" s="78"/>
      <c r="F411" s="87"/>
      <c r="G411" s="78"/>
      <c r="J411" s="78"/>
      <c r="K411" s="78"/>
      <c r="P411" s="78"/>
      <c r="Q411" s="78"/>
    </row>
    <row r="412" spans="1:17">
      <c r="A412" s="77"/>
      <c r="B412" s="104"/>
      <c r="C412" s="78"/>
      <c r="D412" s="78"/>
      <c r="E412" s="78"/>
      <c r="F412" s="87"/>
      <c r="G412" s="78"/>
      <c r="J412" s="78"/>
      <c r="K412" s="78"/>
      <c r="P412" s="78"/>
      <c r="Q412" s="78"/>
    </row>
    <row r="413" spans="1:17">
      <c r="A413" s="77"/>
      <c r="B413" s="104"/>
      <c r="C413" s="78"/>
      <c r="D413" s="78"/>
      <c r="E413" s="78"/>
      <c r="F413" s="87"/>
      <c r="G413" s="78"/>
      <c r="J413" s="78"/>
      <c r="K413" s="78"/>
      <c r="P413" s="78"/>
      <c r="Q413" s="78"/>
    </row>
    <row r="414" spans="1:17">
      <c r="A414" s="77"/>
      <c r="B414" s="104"/>
      <c r="C414" s="78"/>
      <c r="D414" s="78"/>
      <c r="E414" s="78"/>
      <c r="F414" s="87"/>
      <c r="G414" s="78"/>
      <c r="J414" s="78"/>
      <c r="K414" s="78"/>
      <c r="P414" s="78"/>
      <c r="Q414" s="78"/>
    </row>
    <row r="415" spans="1:17">
      <c r="A415" s="77"/>
      <c r="B415" s="104"/>
      <c r="C415" s="78"/>
      <c r="D415" s="78"/>
      <c r="E415" s="78"/>
      <c r="F415" s="87"/>
      <c r="G415" s="78"/>
      <c r="J415" s="78"/>
      <c r="K415" s="78"/>
      <c r="P415" s="78"/>
      <c r="Q415" s="78"/>
    </row>
    <row r="416" spans="1:17">
      <c r="A416" s="77"/>
      <c r="B416" s="104"/>
      <c r="C416" s="78"/>
      <c r="D416" s="78"/>
      <c r="E416" s="78"/>
      <c r="F416" s="87"/>
      <c r="G416" s="78"/>
      <c r="J416" s="78"/>
      <c r="K416" s="78"/>
      <c r="P416" s="78"/>
      <c r="Q416" s="78"/>
    </row>
    <row r="417" spans="1:17">
      <c r="A417" s="77"/>
      <c r="B417" s="104"/>
      <c r="C417" s="78"/>
      <c r="D417" s="78"/>
      <c r="E417" s="78"/>
      <c r="F417" s="87"/>
      <c r="G417" s="78"/>
      <c r="J417" s="78"/>
      <c r="K417" s="78"/>
      <c r="P417" s="78"/>
      <c r="Q417" s="78"/>
    </row>
    <row r="418" spans="1:17">
      <c r="A418" s="77"/>
      <c r="B418" s="104"/>
      <c r="C418" s="78"/>
      <c r="D418" s="78"/>
      <c r="E418" s="78"/>
      <c r="F418" s="87"/>
      <c r="G418" s="78"/>
      <c r="J418" s="78"/>
      <c r="K418" s="78"/>
      <c r="P418" s="78"/>
      <c r="Q418" s="78"/>
    </row>
    <row r="419" spans="1:17">
      <c r="A419" s="77"/>
      <c r="B419" s="104"/>
      <c r="C419" s="78"/>
      <c r="D419" s="78"/>
      <c r="E419" s="78"/>
      <c r="F419" s="87"/>
      <c r="G419" s="78"/>
      <c r="J419" s="78"/>
      <c r="K419" s="78"/>
      <c r="P419" s="78"/>
      <c r="Q419" s="78"/>
    </row>
    <row r="420" spans="1:17">
      <c r="A420" s="77"/>
      <c r="B420" s="104"/>
      <c r="C420" s="78"/>
      <c r="D420" s="78"/>
      <c r="E420" s="78"/>
      <c r="F420" s="87"/>
      <c r="G420" s="78"/>
      <c r="J420" s="78"/>
      <c r="K420" s="78"/>
      <c r="P420" s="78"/>
      <c r="Q420" s="78"/>
    </row>
    <row r="421" spans="1:17">
      <c r="A421" s="77"/>
      <c r="B421" s="104"/>
      <c r="C421" s="78"/>
      <c r="D421" s="78"/>
      <c r="E421" s="78"/>
      <c r="F421" s="87"/>
      <c r="G421" s="78"/>
      <c r="J421" s="78"/>
      <c r="K421" s="78"/>
      <c r="P421" s="78"/>
      <c r="Q421" s="78"/>
    </row>
    <row r="422" spans="1:17">
      <c r="A422" s="77"/>
      <c r="B422" s="104"/>
      <c r="C422" s="78"/>
      <c r="D422" s="78"/>
      <c r="E422" s="78"/>
      <c r="F422" s="87"/>
      <c r="G422" s="78"/>
      <c r="J422" s="78"/>
      <c r="K422" s="78"/>
      <c r="P422" s="78"/>
      <c r="Q422" s="78"/>
    </row>
    <row r="423" spans="1:17">
      <c r="A423" s="77"/>
      <c r="B423" s="104"/>
      <c r="C423" s="78"/>
      <c r="D423" s="78"/>
      <c r="E423" s="78"/>
      <c r="F423" s="87"/>
      <c r="G423" s="78"/>
      <c r="J423" s="78"/>
      <c r="K423" s="78"/>
      <c r="P423" s="78"/>
      <c r="Q423" s="78"/>
    </row>
    <row r="424" spans="1:17">
      <c r="A424" s="77"/>
      <c r="B424" s="104"/>
      <c r="C424" s="78"/>
      <c r="D424" s="78"/>
      <c r="E424" s="78"/>
      <c r="F424" s="87"/>
      <c r="G424" s="78"/>
      <c r="J424" s="78"/>
      <c r="K424" s="78"/>
      <c r="P424" s="78"/>
      <c r="Q424" s="78"/>
    </row>
    <row r="425" spans="1:17">
      <c r="A425" s="77"/>
      <c r="B425" s="104"/>
      <c r="C425" s="78"/>
      <c r="D425" s="78"/>
      <c r="E425" s="78"/>
      <c r="F425" s="87"/>
      <c r="G425" s="78"/>
      <c r="J425" s="78"/>
      <c r="K425" s="78"/>
      <c r="P425" s="78"/>
      <c r="Q425" s="78"/>
    </row>
    <row r="426" spans="1:17">
      <c r="A426" s="77"/>
      <c r="B426" s="104"/>
      <c r="C426" s="78"/>
      <c r="D426" s="78"/>
      <c r="E426" s="78"/>
      <c r="F426" s="87"/>
      <c r="G426" s="78"/>
      <c r="J426" s="78"/>
      <c r="K426" s="78"/>
      <c r="P426" s="78"/>
      <c r="Q426" s="78"/>
    </row>
    <row r="427" spans="1:17">
      <c r="A427" s="77"/>
      <c r="B427" s="104"/>
      <c r="C427" s="78"/>
      <c r="D427" s="78"/>
      <c r="E427" s="78"/>
      <c r="F427" s="87"/>
      <c r="G427" s="78"/>
      <c r="J427" s="78"/>
      <c r="K427" s="78"/>
      <c r="P427" s="78"/>
      <c r="Q427" s="78"/>
    </row>
    <row r="428" spans="1:17">
      <c r="A428" s="77"/>
      <c r="B428" s="104"/>
      <c r="C428" s="78"/>
      <c r="D428" s="78"/>
      <c r="E428" s="78"/>
      <c r="F428" s="87"/>
      <c r="G428" s="78"/>
      <c r="J428" s="78"/>
      <c r="K428" s="78"/>
      <c r="P428" s="78"/>
      <c r="Q428" s="78"/>
    </row>
    <row r="429" spans="1:17">
      <c r="A429" s="77"/>
      <c r="B429" s="104"/>
      <c r="C429" s="78"/>
      <c r="D429" s="78"/>
      <c r="E429" s="78"/>
      <c r="F429" s="87"/>
      <c r="G429" s="78"/>
      <c r="J429" s="78"/>
      <c r="K429" s="78"/>
      <c r="P429" s="78"/>
      <c r="Q429" s="78"/>
    </row>
    <row r="430" spans="1:17">
      <c r="A430" s="77"/>
      <c r="B430" s="104"/>
      <c r="C430" s="78"/>
      <c r="D430" s="78"/>
      <c r="E430" s="78"/>
      <c r="F430" s="87"/>
      <c r="G430" s="78"/>
      <c r="J430" s="78"/>
      <c r="K430" s="78"/>
      <c r="P430" s="78"/>
      <c r="Q430" s="78"/>
    </row>
    <row r="431" spans="1:17">
      <c r="A431" s="77"/>
      <c r="B431" s="104"/>
      <c r="C431" s="78"/>
      <c r="D431" s="78"/>
      <c r="E431" s="78"/>
      <c r="F431" s="87"/>
      <c r="G431" s="78"/>
      <c r="J431" s="78"/>
      <c r="K431" s="78"/>
      <c r="P431" s="78"/>
      <c r="Q431" s="78"/>
    </row>
    <row r="432" spans="1:17">
      <c r="A432" s="77"/>
      <c r="B432" s="104"/>
      <c r="C432" s="78"/>
      <c r="D432" s="78"/>
      <c r="E432" s="78"/>
      <c r="F432" s="87"/>
      <c r="G432" s="78"/>
      <c r="J432" s="78"/>
      <c r="K432" s="78"/>
      <c r="P432" s="78"/>
      <c r="Q432" s="78"/>
    </row>
    <row r="433" spans="1:17">
      <c r="A433" s="77"/>
      <c r="B433" s="104"/>
      <c r="C433" s="78"/>
      <c r="D433" s="78"/>
      <c r="E433" s="78"/>
      <c r="F433" s="87"/>
      <c r="G433" s="78"/>
      <c r="J433" s="78"/>
      <c r="K433" s="78"/>
      <c r="P433" s="78"/>
      <c r="Q433" s="78"/>
    </row>
    <row r="434" spans="1:17">
      <c r="A434" s="77"/>
      <c r="B434" s="104"/>
      <c r="C434" s="78"/>
      <c r="D434" s="78"/>
      <c r="E434" s="78"/>
      <c r="F434" s="87"/>
      <c r="G434" s="78"/>
      <c r="J434" s="78"/>
      <c r="K434" s="78"/>
      <c r="P434" s="78"/>
      <c r="Q434" s="78"/>
    </row>
    <row r="435" spans="1:17">
      <c r="A435" s="77"/>
      <c r="B435" s="104"/>
      <c r="C435" s="78"/>
      <c r="D435" s="78"/>
      <c r="E435" s="78"/>
      <c r="F435" s="87"/>
      <c r="G435" s="78"/>
      <c r="J435" s="78"/>
      <c r="K435" s="78"/>
      <c r="P435" s="78"/>
      <c r="Q435" s="78"/>
    </row>
    <row r="436" spans="1:17">
      <c r="A436" s="77"/>
      <c r="B436" s="104"/>
      <c r="C436" s="78"/>
      <c r="D436" s="78"/>
      <c r="E436" s="78"/>
      <c r="F436" s="87"/>
      <c r="G436" s="78"/>
      <c r="J436" s="78"/>
      <c r="K436" s="78"/>
      <c r="P436" s="78"/>
      <c r="Q436" s="78"/>
    </row>
    <row r="437" spans="1:17">
      <c r="A437" s="77"/>
      <c r="B437" s="104"/>
      <c r="C437" s="78"/>
      <c r="D437" s="78"/>
      <c r="E437" s="78"/>
      <c r="F437" s="87"/>
      <c r="G437" s="78"/>
      <c r="J437" s="78"/>
      <c r="K437" s="78"/>
      <c r="P437" s="78"/>
      <c r="Q437" s="78"/>
    </row>
    <row r="438" spans="1:17">
      <c r="A438" s="77"/>
      <c r="B438" s="104"/>
      <c r="C438" s="78"/>
      <c r="D438" s="78"/>
      <c r="E438" s="78"/>
      <c r="F438" s="87"/>
      <c r="G438" s="78"/>
      <c r="J438" s="78"/>
      <c r="K438" s="78"/>
      <c r="P438" s="78"/>
      <c r="Q438" s="78"/>
    </row>
    <row r="439" spans="1:17">
      <c r="A439" s="77"/>
      <c r="B439" s="104"/>
      <c r="C439" s="78"/>
      <c r="D439" s="78"/>
      <c r="E439" s="78"/>
      <c r="F439" s="87"/>
      <c r="G439" s="78"/>
      <c r="J439" s="78"/>
      <c r="K439" s="78"/>
      <c r="P439" s="78"/>
      <c r="Q439" s="78"/>
    </row>
    <row r="440" spans="1:17">
      <c r="A440" s="77"/>
      <c r="B440" s="104"/>
      <c r="C440" s="78"/>
      <c r="D440" s="78"/>
      <c r="E440" s="78"/>
      <c r="F440" s="87"/>
      <c r="G440" s="78"/>
      <c r="J440" s="78"/>
      <c r="K440" s="78"/>
      <c r="P440" s="78"/>
      <c r="Q440" s="78"/>
    </row>
    <row r="441" spans="1:17">
      <c r="A441" s="77"/>
      <c r="B441" s="104"/>
      <c r="C441" s="78"/>
      <c r="D441" s="78"/>
      <c r="E441" s="78"/>
      <c r="F441" s="87"/>
      <c r="G441" s="78"/>
      <c r="J441" s="78"/>
      <c r="K441" s="78"/>
      <c r="P441" s="78"/>
      <c r="Q441" s="78"/>
    </row>
    <row r="442" spans="1:17">
      <c r="A442" s="77"/>
      <c r="B442" s="104"/>
      <c r="C442" s="78"/>
      <c r="D442" s="78"/>
      <c r="E442" s="78"/>
      <c r="F442" s="87"/>
      <c r="G442" s="78"/>
      <c r="J442" s="78"/>
      <c r="K442" s="78"/>
      <c r="P442" s="78"/>
      <c r="Q442" s="78"/>
    </row>
    <row r="443" spans="1:17">
      <c r="A443" s="77"/>
      <c r="B443" s="104"/>
      <c r="C443" s="78"/>
      <c r="D443" s="78"/>
      <c r="E443" s="78"/>
      <c r="F443" s="87"/>
      <c r="G443" s="78"/>
      <c r="J443" s="78"/>
      <c r="K443" s="78"/>
      <c r="P443" s="78"/>
      <c r="Q443" s="78"/>
    </row>
    <row r="444" spans="1:17">
      <c r="A444" s="77"/>
      <c r="B444" s="104"/>
      <c r="C444" s="78"/>
      <c r="D444" s="78"/>
      <c r="E444" s="78"/>
      <c r="F444" s="87"/>
      <c r="G444" s="78"/>
      <c r="J444" s="78"/>
      <c r="K444" s="78"/>
      <c r="P444" s="78"/>
      <c r="Q444" s="78"/>
    </row>
    <row r="445" spans="1:17">
      <c r="A445" s="77"/>
      <c r="B445" s="104"/>
      <c r="C445" s="78"/>
      <c r="D445" s="78"/>
      <c r="E445" s="78"/>
      <c r="F445" s="87"/>
      <c r="G445" s="78"/>
      <c r="J445" s="78"/>
      <c r="K445" s="78"/>
      <c r="P445" s="78"/>
      <c r="Q445" s="78"/>
    </row>
    <row r="446" spans="1:17">
      <c r="A446" s="77"/>
      <c r="B446" s="104"/>
      <c r="C446" s="78"/>
      <c r="D446" s="78"/>
      <c r="E446" s="78"/>
      <c r="F446" s="87"/>
      <c r="G446" s="78"/>
      <c r="J446" s="78"/>
      <c r="K446" s="78"/>
      <c r="P446" s="78"/>
      <c r="Q446" s="78"/>
    </row>
    <row r="447" spans="1:17">
      <c r="A447" s="77"/>
      <c r="B447" s="104"/>
      <c r="C447" s="78"/>
      <c r="D447" s="78"/>
      <c r="E447" s="78"/>
      <c r="F447" s="87"/>
      <c r="G447" s="78"/>
      <c r="J447" s="78"/>
      <c r="K447" s="78"/>
      <c r="P447" s="78"/>
      <c r="Q447" s="78"/>
    </row>
    <row r="448" spans="1:17">
      <c r="A448" s="77"/>
      <c r="B448" s="104"/>
      <c r="C448" s="78"/>
      <c r="D448" s="78"/>
      <c r="E448" s="78"/>
      <c r="F448" s="87"/>
      <c r="G448" s="78"/>
      <c r="J448" s="78"/>
      <c r="K448" s="78"/>
      <c r="P448" s="78"/>
      <c r="Q448" s="78"/>
    </row>
    <row r="449" spans="1:17">
      <c r="A449" s="77"/>
      <c r="B449" s="104"/>
      <c r="C449" s="78"/>
      <c r="D449" s="78"/>
      <c r="E449" s="78"/>
      <c r="F449" s="87"/>
      <c r="G449" s="78"/>
      <c r="J449" s="78"/>
      <c r="K449" s="78"/>
      <c r="P449" s="78"/>
      <c r="Q449" s="78"/>
    </row>
    <row r="450" spans="1:17">
      <c r="A450" s="77"/>
      <c r="B450" s="104"/>
      <c r="C450" s="78"/>
      <c r="D450" s="78"/>
      <c r="E450" s="78"/>
      <c r="F450" s="87"/>
      <c r="G450" s="78"/>
      <c r="J450" s="78"/>
      <c r="K450" s="78"/>
      <c r="P450" s="78"/>
      <c r="Q450" s="78"/>
    </row>
    <row r="451" spans="1:17">
      <c r="A451" s="77"/>
      <c r="B451" s="104"/>
      <c r="C451" s="78"/>
      <c r="D451" s="78"/>
      <c r="E451" s="78"/>
      <c r="F451" s="87"/>
      <c r="G451" s="78"/>
      <c r="J451" s="78"/>
      <c r="K451" s="78"/>
      <c r="P451" s="78"/>
      <c r="Q451" s="78"/>
    </row>
    <row r="452" spans="1:17">
      <c r="A452" s="77"/>
      <c r="B452" s="104"/>
      <c r="C452" s="78"/>
      <c r="D452" s="78"/>
      <c r="E452" s="78"/>
      <c r="F452" s="87"/>
      <c r="G452" s="78"/>
      <c r="J452" s="78"/>
      <c r="K452" s="78"/>
      <c r="P452" s="78"/>
      <c r="Q452" s="78"/>
    </row>
    <row r="453" spans="1:17">
      <c r="A453" s="77"/>
      <c r="B453" s="104"/>
      <c r="C453" s="78"/>
      <c r="D453" s="78"/>
      <c r="E453" s="78"/>
      <c r="F453" s="87"/>
      <c r="G453" s="78"/>
      <c r="J453" s="78"/>
      <c r="K453" s="78"/>
      <c r="P453" s="78"/>
      <c r="Q453" s="78"/>
    </row>
    <row r="454" spans="1:17">
      <c r="A454" s="77"/>
      <c r="B454" s="104"/>
      <c r="C454" s="78"/>
      <c r="D454" s="78"/>
      <c r="E454" s="78"/>
      <c r="F454" s="87"/>
      <c r="G454" s="78"/>
      <c r="J454" s="78"/>
      <c r="K454" s="78"/>
      <c r="P454" s="78"/>
      <c r="Q454" s="78"/>
    </row>
    <row r="455" spans="1:17">
      <c r="A455" s="77"/>
      <c r="B455" s="104"/>
      <c r="C455" s="78"/>
      <c r="D455" s="78"/>
      <c r="E455" s="78"/>
      <c r="F455" s="87"/>
      <c r="G455" s="78"/>
      <c r="J455" s="78"/>
      <c r="K455" s="78"/>
      <c r="P455" s="78"/>
      <c r="Q455" s="78"/>
    </row>
    <row r="456" spans="1:17">
      <c r="A456" s="77"/>
      <c r="B456" s="104"/>
      <c r="C456" s="78"/>
      <c r="D456" s="78"/>
      <c r="E456" s="78"/>
      <c r="F456" s="87"/>
      <c r="G456" s="78"/>
      <c r="J456" s="78"/>
      <c r="K456" s="78"/>
      <c r="P456" s="78"/>
      <c r="Q456" s="78"/>
    </row>
    <row r="457" spans="1:17">
      <c r="A457" s="77"/>
      <c r="B457" s="104"/>
      <c r="C457" s="78"/>
      <c r="D457" s="78"/>
      <c r="E457" s="78"/>
      <c r="F457" s="87"/>
      <c r="G457" s="78"/>
      <c r="J457" s="78"/>
      <c r="K457" s="78"/>
      <c r="P457" s="78"/>
      <c r="Q457" s="78"/>
    </row>
    <row r="458" spans="1:17">
      <c r="A458" s="77"/>
      <c r="B458" s="104"/>
      <c r="C458" s="78"/>
      <c r="D458" s="78"/>
      <c r="E458" s="78"/>
      <c r="F458" s="87"/>
      <c r="G458" s="78"/>
      <c r="J458" s="78"/>
      <c r="K458" s="78"/>
      <c r="P458" s="78"/>
      <c r="Q458" s="78"/>
    </row>
    <row r="459" spans="1:17">
      <c r="A459" s="77"/>
      <c r="B459" s="104"/>
      <c r="C459" s="78"/>
      <c r="D459" s="78"/>
      <c r="E459" s="78"/>
      <c r="F459" s="87"/>
      <c r="G459" s="78"/>
      <c r="J459" s="78"/>
      <c r="K459" s="78"/>
      <c r="P459" s="78"/>
      <c r="Q459" s="78"/>
    </row>
    <row r="460" spans="1:17">
      <c r="A460" s="77"/>
      <c r="B460" s="104"/>
      <c r="C460" s="78"/>
      <c r="D460" s="78"/>
      <c r="E460" s="78"/>
      <c r="F460" s="87"/>
      <c r="G460" s="78"/>
      <c r="J460" s="78"/>
      <c r="K460" s="78"/>
      <c r="P460" s="78"/>
      <c r="Q460" s="78"/>
    </row>
    <row r="461" spans="1:17">
      <c r="A461" s="77"/>
      <c r="B461" s="104"/>
      <c r="C461" s="78"/>
      <c r="D461" s="78"/>
      <c r="E461" s="78"/>
      <c r="F461" s="87"/>
      <c r="G461" s="78"/>
      <c r="J461" s="78"/>
      <c r="K461" s="78"/>
      <c r="P461" s="78"/>
      <c r="Q461" s="78"/>
    </row>
    <row r="462" spans="1:17">
      <c r="A462" s="77"/>
      <c r="B462" s="104"/>
      <c r="C462" s="78"/>
      <c r="D462" s="78"/>
      <c r="E462" s="78"/>
      <c r="F462" s="87"/>
      <c r="G462" s="78"/>
      <c r="J462" s="78"/>
      <c r="K462" s="78"/>
      <c r="P462" s="78"/>
      <c r="Q462" s="78"/>
    </row>
    <row r="463" spans="1:17">
      <c r="A463" s="77"/>
      <c r="B463" s="104"/>
      <c r="C463" s="78"/>
      <c r="D463" s="78"/>
      <c r="E463" s="78"/>
      <c r="F463" s="87"/>
      <c r="G463" s="78"/>
      <c r="J463" s="78"/>
      <c r="K463" s="78"/>
      <c r="P463" s="78"/>
      <c r="Q463" s="78"/>
    </row>
    <row r="464" spans="1:17">
      <c r="A464" s="77"/>
      <c r="B464" s="104"/>
      <c r="C464" s="78"/>
      <c r="D464" s="78"/>
      <c r="E464" s="78"/>
      <c r="F464" s="87"/>
      <c r="G464" s="78"/>
      <c r="J464" s="78"/>
      <c r="K464" s="78"/>
      <c r="P464" s="78"/>
      <c r="Q464" s="78"/>
    </row>
    <row r="465" spans="1:17">
      <c r="A465" s="77"/>
      <c r="B465" s="104"/>
      <c r="C465" s="78"/>
      <c r="D465" s="78"/>
      <c r="E465" s="78"/>
      <c r="F465" s="87"/>
      <c r="G465" s="78"/>
      <c r="J465" s="78"/>
      <c r="K465" s="78"/>
      <c r="P465" s="78"/>
      <c r="Q465" s="78"/>
    </row>
    <row r="466" spans="1:17">
      <c r="A466" s="77"/>
      <c r="B466" s="104"/>
      <c r="C466" s="78"/>
      <c r="D466" s="78"/>
      <c r="E466" s="78"/>
      <c r="F466" s="87"/>
      <c r="G466" s="78"/>
      <c r="J466" s="78"/>
      <c r="K466" s="78"/>
      <c r="P466" s="78"/>
      <c r="Q466" s="78"/>
    </row>
    <row r="467" spans="1:17">
      <c r="A467" s="77"/>
      <c r="B467" s="104"/>
      <c r="C467" s="78"/>
      <c r="D467" s="78"/>
      <c r="E467" s="78"/>
      <c r="F467" s="87"/>
      <c r="G467" s="78"/>
      <c r="J467" s="78"/>
      <c r="K467" s="78"/>
      <c r="P467" s="78"/>
      <c r="Q467" s="78"/>
    </row>
    <row r="468" spans="1:17">
      <c r="A468" s="77"/>
      <c r="B468" s="104"/>
      <c r="C468" s="78"/>
      <c r="D468" s="78"/>
      <c r="E468" s="78"/>
      <c r="F468" s="87"/>
      <c r="G468" s="78"/>
      <c r="J468" s="78"/>
      <c r="K468" s="78"/>
      <c r="P468" s="78"/>
      <c r="Q468" s="78"/>
    </row>
    <row r="469" spans="1:17">
      <c r="A469" s="77"/>
      <c r="B469" s="104"/>
      <c r="C469" s="78"/>
      <c r="D469" s="78"/>
      <c r="E469" s="78"/>
      <c r="F469" s="87"/>
      <c r="G469" s="78"/>
      <c r="J469" s="78"/>
      <c r="K469" s="78"/>
      <c r="P469" s="78"/>
      <c r="Q469" s="78"/>
    </row>
    <row r="470" spans="1:17">
      <c r="A470" s="77"/>
      <c r="B470" s="104"/>
      <c r="C470" s="78"/>
      <c r="D470" s="78"/>
      <c r="E470" s="78"/>
      <c r="F470" s="87"/>
      <c r="G470" s="78"/>
      <c r="J470" s="78"/>
      <c r="K470" s="78"/>
      <c r="P470" s="78"/>
      <c r="Q470" s="78"/>
    </row>
    <row r="471" spans="1:17">
      <c r="A471" s="77"/>
      <c r="B471" s="104"/>
      <c r="C471" s="78"/>
      <c r="D471" s="78"/>
      <c r="E471" s="78"/>
      <c r="F471" s="87"/>
      <c r="G471" s="78"/>
      <c r="J471" s="78"/>
      <c r="K471" s="78"/>
      <c r="P471" s="78"/>
      <c r="Q471" s="78"/>
    </row>
    <row r="472" spans="1:17">
      <c r="A472" s="77"/>
      <c r="B472" s="104"/>
      <c r="C472" s="78"/>
      <c r="D472" s="78"/>
      <c r="E472" s="78"/>
      <c r="F472" s="87"/>
      <c r="G472" s="78"/>
      <c r="J472" s="78"/>
      <c r="K472" s="78"/>
      <c r="P472" s="78"/>
      <c r="Q472" s="78"/>
    </row>
    <row r="473" spans="1:17">
      <c r="A473" s="77"/>
      <c r="B473" s="104"/>
      <c r="C473" s="78"/>
      <c r="D473" s="78"/>
      <c r="E473" s="78"/>
      <c r="F473" s="87"/>
      <c r="G473" s="78"/>
      <c r="J473" s="78"/>
      <c r="K473" s="78"/>
      <c r="P473" s="78"/>
      <c r="Q473" s="78"/>
    </row>
    <row r="474" spans="1:17">
      <c r="A474" s="77"/>
      <c r="B474" s="104"/>
      <c r="C474" s="78"/>
      <c r="D474" s="78"/>
      <c r="E474" s="78"/>
      <c r="F474" s="87"/>
      <c r="G474" s="78"/>
      <c r="J474" s="78"/>
      <c r="K474" s="78"/>
      <c r="P474" s="78"/>
      <c r="Q474" s="78"/>
    </row>
    <row r="475" spans="1:17">
      <c r="A475" s="77"/>
      <c r="B475" s="104"/>
      <c r="C475" s="78"/>
      <c r="D475" s="78"/>
      <c r="E475" s="78"/>
      <c r="F475" s="87"/>
      <c r="G475" s="78"/>
      <c r="J475" s="78"/>
      <c r="K475" s="78"/>
      <c r="P475" s="78"/>
      <c r="Q475" s="78"/>
    </row>
    <row r="476" spans="1:17">
      <c r="A476" s="77"/>
      <c r="B476" s="104"/>
      <c r="C476" s="78"/>
      <c r="D476" s="78"/>
      <c r="E476" s="78"/>
      <c r="F476" s="87"/>
      <c r="G476" s="78"/>
      <c r="J476" s="78"/>
      <c r="K476" s="78"/>
      <c r="P476" s="78"/>
      <c r="Q476" s="78"/>
    </row>
    <row r="477" spans="1:17">
      <c r="A477" s="77"/>
      <c r="B477" s="104"/>
      <c r="C477" s="78"/>
      <c r="D477" s="78"/>
      <c r="E477" s="78"/>
      <c r="F477" s="87"/>
      <c r="G477" s="78"/>
      <c r="J477" s="78"/>
      <c r="K477" s="78"/>
      <c r="P477" s="78"/>
      <c r="Q477" s="78"/>
    </row>
    <row r="478" spans="1:17">
      <c r="A478" s="77"/>
      <c r="B478" s="104"/>
      <c r="C478" s="78"/>
      <c r="D478" s="78"/>
      <c r="E478" s="78"/>
      <c r="F478" s="87"/>
      <c r="G478" s="78"/>
      <c r="J478" s="78"/>
      <c r="K478" s="78"/>
      <c r="P478" s="78"/>
      <c r="Q478" s="78"/>
    </row>
    <row r="479" spans="1:17">
      <c r="A479" s="77"/>
      <c r="B479" s="104"/>
      <c r="C479" s="78"/>
      <c r="D479" s="78"/>
      <c r="E479" s="78"/>
      <c r="F479" s="87"/>
      <c r="G479" s="78"/>
      <c r="J479" s="78"/>
      <c r="K479" s="78"/>
      <c r="P479" s="78"/>
      <c r="Q479" s="78"/>
    </row>
    <row r="480" spans="1:17">
      <c r="A480" s="77"/>
      <c r="B480" s="104"/>
      <c r="C480" s="78"/>
      <c r="D480" s="78"/>
      <c r="E480" s="78"/>
      <c r="F480" s="87"/>
      <c r="G480" s="78"/>
      <c r="J480" s="78"/>
      <c r="K480" s="78"/>
      <c r="P480" s="78"/>
      <c r="Q480" s="78"/>
    </row>
    <row r="481" spans="1:17">
      <c r="A481" s="77"/>
      <c r="B481" s="104"/>
      <c r="C481" s="78"/>
      <c r="D481" s="78"/>
      <c r="E481" s="78"/>
      <c r="F481" s="87"/>
      <c r="G481" s="78"/>
      <c r="J481" s="78"/>
      <c r="K481" s="78"/>
      <c r="P481" s="78"/>
      <c r="Q481" s="78"/>
    </row>
    <row r="482" spans="1:17">
      <c r="A482" s="77"/>
      <c r="B482" s="104"/>
      <c r="C482" s="78"/>
      <c r="D482" s="78"/>
      <c r="E482" s="78"/>
      <c r="F482" s="87"/>
      <c r="G482" s="78"/>
      <c r="J482" s="78"/>
      <c r="K482" s="78"/>
      <c r="P482" s="78"/>
      <c r="Q482" s="78"/>
    </row>
    <row r="483" spans="1:17">
      <c r="A483" s="77"/>
      <c r="B483" s="104"/>
      <c r="C483" s="78"/>
      <c r="D483" s="78"/>
      <c r="E483" s="78"/>
      <c r="F483" s="87"/>
      <c r="G483" s="78"/>
      <c r="J483" s="78"/>
      <c r="K483" s="78"/>
      <c r="P483" s="78"/>
      <c r="Q483" s="78"/>
    </row>
    <row r="484" spans="1:17">
      <c r="A484" s="77"/>
      <c r="B484" s="104"/>
      <c r="C484" s="78"/>
      <c r="D484" s="78"/>
      <c r="E484" s="78"/>
      <c r="F484" s="87"/>
      <c r="G484" s="78"/>
      <c r="J484" s="78"/>
      <c r="K484" s="78"/>
      <c r="P484" s="78"/>
      <c r="Q484" s="78"/>
    </row>
    <row r="485" spans="1:17">
      <c r="A485" s="77"/>
      <c r="B485" s="104"/>
      <c r="C485" s="78"/>
      <c r="D485" s="78"/>
      <c r="E485" s="78"/>
      <c r="F485" s="87"/>
      <c r="G485" s="78"/>
      <c r="J485" s="78"/>
      <c r="K485" s="78"/>
      <c r="P485" s="78"/>
      <c r="Q485" s="78"/>
    </row>
    <row r="486" spans="1:17">
      <c r="A486" s="77"/>
      <c r="B486" s="104"/>
      <c r="C486" s="78"/>
      <c r="D486" s="78"/>
      <c r="E486" s="78"/>
      <c r="F486" s="87"/>
      <c r="G486" s="78"/>
      <c r="J486" s="78"/>
      <c r="K486" s="78"/>
      <c r="P486" s="78"/>
      <c r="Q486" s="78"/>
    </row>
    <row r="487" spans="1:17">
      <c r="A487" s="77"/>
      <c r="B487" s="104"/>
      <c r="C487" s="78"/>
      <c r="D487" s="78"/>
      <c r="E487" s="78"/>
      <c r="F487" s="87"/>
      <c r="G487" s="78"/>
      <c r="J487" s="78"/>
      <c r="K487" s="78"/>
      <c r="P487" s="78"/>
      <c r="Q487" s="78"/>
    </row>
    <row r="488" spans="1:17">
      <c r="A488" s="77"/>
      <c r="B488" s="104"/>
      <c r="C488" s="78"/>
      <c r="D488" s="78"/>
      <c r="E488" s="78"/>
      <c r="F488" s="87"/>
      <c r="G488" s="78"/>
      <c r="J488" s="78"/>
      <c r="K488" s="78"/>
      <c r="P488" s="78"/>
      <c r="Q488" s="78"/>
    </row>
    <row r="489" spans="1:17">
      <c r="A489" s="77"/>
      <c r="B489" s="104"/>
      <c r="C489" s="78"/>
      <c r="D489" s="78"/>
      <c r="E489" s="78"/>
      <c r="F489" s="87"/>
      <c r="G489" s="78"/>
      <c r="J489" s="78"/>
      <c r="K489" s="78"/>
      <c r="P489" s="78"/>
      <c r="Q489" s="78"/>
    </row>
    <row r="490" spans="1:17">
      <c r="A490" s="77"/>
      <c r="B490" s="104"/>
      <c r="C490" s="78"/>
      <c r="D490" s="78"/>
      <c r="E490" s="78"/>
      <c r="F490" s="87"/>
      <c r="G490" s="78"/>
      <c r="J490" s="78"/>
      <c r="K490" s="78"/>
      <c r="P490" s="78"/>
      <c r="Q490" s="78"/>
    </row>
    <row r="491" spans="1:17">
      <c r="A491" s="77"/>
      <c r="B491" s="104"/>
      <c r="C491" s="78"/>
      <c r="D491" s="78"/>
      <c r="E491" s="78"/>
      <c r="F491" s="87"/>
      <c r="G491" s="78"/>
      <c r="J491" s="78"/>
      <c r="K491" s="78"/>
      <c r="P491" s="78"/>
      <c r="Q491" s="78"/>
    </row>
    <row r="492" spans="1:17">
      <c r="A492" s="77"/>
      <c r="B492" s="104"/>
      <c r="C492" s="78"/>
      <c r="D492" s="78"/>
      <c r="E492" s="78"/>
      <c r="F492" s="87"/>
      <c r="G492" s="78"/>
      <c r="J492" s="78"/>
      <c r="K492" s="78"/>
      <c r="P492" s="78"/>
      <c r="Q492" s="78"/>
    </row>
    <row r="493" spans="1:17">
      <c r="A493" s="77"/>
      <c r="B493" s="104"/>
      <c r="C493" s="78"/>
      <c r="D493" s="78"/>
      <c r="E493" s="78"/>
      <c r="F493" s="87"/>
      <c r="G493" s="78"/>
      <c r="J493" s="78"/>
      <c r="K493" s="78"/>
      <c r="P493" s="78"/>
      <c r="Q493" s="78"/>
    </row>
    <row r="494" spans="1:17">
      <c r="A494" s="77"/>
      <c r="B494" s="104"/>
      <c r="C494" s="78"/>
      <c r="D494" s="78"/>
      <c r="E494" s="78"/>
      <c r="F494" s="87"/>
      <c r="G494" s="78"/>
      <c r="J494" s="78"/>
      <c r="K494" s="78"/>
      <c r="P494" s="78"/>
      <c r="Q494" s="78"/>
    </row>
    <row r="495" spans="1:17">
      <c r="A495" s="77"/>
      <c r="B495" s="104"/>
      <c r="C495" s="78"/>
      <c r="D495" s="78"/>
      <c r="E495" s="78"/>
      <c r="F495" s="87"/>
      <c r="G495" s="78"/>
      <c r="J495" s="78"/>
      <c r="K495" s="78"/>
      <c r="P495" s="78"/>
      <c r="Q495" s="78"/>
    </row>
    <row r="496" spans="1:17">
      <c r="A496" s="77"/>
      <c r="B496" s="104"/>
      <c r="C496" s="78"/>
      <c r="D496" s="78"/>
      <c r="E496" s="78"/>
      <c r="F496" s="87"/>
      <c r="G496" s="78"/>
      <c r="J496" s="78"/>
      <c r="K496" s="78"/>
      <c r="P496" s="78"/>
      <c r="Q496" s="78"/>
    </row>
    <row r="497" spans="1:17">
      <c r="A497" s="77"/>
      <c r="B497" s="104"/>
      <c r="C497" s="78"/>
      <c r="D497" s="78"/>
      <c r="E497" s="78"/>
      <c r="F497" s="87"/>
      <c r="G497" s="78"/>
      <c r="J497" s="78"/>
      <c r="K497" s="78"/>
      <c r="P497" s="78"/>
      <c r="Q497" s="78"/>
    </row>
    <row r="498" spans="1:17">
      <c r="A498" s="77"/>
      <c r="B498" s="104"/>
      <c r="C498" s="78"/>
      <c r="D498" s="78"/>
      <c r="E498" s="78"/>
      <c r="F498" s="87"/>
      <c r="G498" s="78"/>
      <c r="J498" s="78"/>
      <c r="K498" s="78"/>
      <c r="P498" s="78"/>
      <c r="Q498" s="78"/>
    </row>
    <row r="499" spans="1:17">
      <c r="A499" s="77"/>
      <c r="B499" s="104"/>
      <c r="C499" s="78"/>
      <c r="D499" s="78"/>
      <c r="E499" s="78"/>
      <c r="F499" s="87"/>
      <c r="G499" s="78"/>
      <c r="J499" s="78"/>
      <c r="K499" s="78"/>
      <c r="P499" s="78"/>
      <c r="Q499" s="78"/>
    </row>
    <row r="500" spans="1:17">
      <c r="A500" s="77"/>
      <c r="B500" s="104"/>
      <c r="C500" s="78"/>
      <c r="D500" s="78"/>
      <c r="E500" s="78"/>
      <c r="F500" s="87"/>
      <c r="G500" s="78"/>
      <c r="J500" s="78"/>
      <c r="K500" s="78"/>
      <c r="P500" s="78"/>
      <c r="Q500" s="78"/>
    </row>
    <row r="501" spans="1:17">
      <c r="A501" s="77"/>
      <c r="B501" s="104"/>
      <c r="C501" s="78"/>
      <c r="D501" s="78"/>
      <c r="E501" s="78"/>
      <c r="F501" s="87"/>
      <c r="G501" s="78"/>
      <c r="J501" s="78"/>
      <c r="K501" s="78"/>
      <c r="P501" s="78"/>
      <c r="Q501" s="78"/>
    </row>
    <row r="502" spans="1:17">
      <c r="A502" s="77"/>
      <c r="B502" s="104"/>
      <c r="C502" s="78"/>
      <c r="D502" s="78"/>
      <c r="E502" s="78"/>
      <c r="F502" s="87"/>
      <c r="G502" s="78"/>
      <c r="J502" s="78"/>
      <c r="K502" s="78"/>
      <c r="P502" s="78"/>
      <c r="Q502" s="78"/>
    </row>
    <row r="503" spans="1:17">
      <c r="A503" s="77"/>
      <c r="B503" s="104"/>
      <c r="C503" s="78"/>
      <c r="D503" s="78"/>
      <c r="E503" s="78"/>
      <c r="F503" s="87"/>
      <c r="G503" s="78"/>
      <c r="J503" s="78"/>
      <c r="K503" s="78"/>
      <c r="P503" s="78"/>
      <c r="Q503" s="78"/>
    </row>
    <row r="504" spans="1:17">
      <c r="A504" s="77"/>
      <c r="B504" s="104"/>
      <c r="C504" s="78"/>
      <c r="D504" s="78"/>
      <c r="E504" s="78"/>
      <c r="F504" s="87"/>
      <c r="G504" s="78"/>
      <c r="J504" s="78"/>
      <c r="K504" s="78"/>
      <c r="P504" s="78"/>
      <c r="Q504" s="78"/>
    </row>
    <row r="505" spans="1:17">
      <c r="A505" s="77"/>
      <c r="B505" s="104"/>
      <c r="C505" s="78"/>
      <c r="D505" s="78"/>
      <c r="E505" s="78"/>
      <c r="F505" s="87"/>
      <c r="G505" s="78"/>
      <c r="J505" s="78"/>
      <c r="K505" s="78"/>
      <c r="P505" s="78"/>
      <c r="Q505" s="78"/>
    </row>
    <row r="506" spans="1:17">
      <c r="A506" s="77"/>
      <c r="B506" s="104"/>
      <c r="C506" s="78"/>
      <c r="D506" s="78"/>
      <c r="E506" s="78"/>
      <c r="F506" s="87"/>
      <c r="G506" s="78"/>
      <c r="J506" s="78"/>
      <c r="K506" s="78"/>
      <c r="P506" s="78"/>
      <c r="Q506" s="78"/>
    </row>
    <row r="507" spans="1:17">
      <c r="A507" s="77"/>
      <c r="B507" s="104"/>
      <c r="C507" s="78"/>
      <c r="D507" s="78"/>
      <c r="E507" s="78"/>
      <c r="F507" s="87"/>
      <c r="G507" s="78"/>
      <c r="J507" s="78"/>
      <c r="K507" s="78"/>
      <c r="P507" s="78"/>
      <c r="Q507" s="78"/>
    </row>
    <row r="508" spans="1:17">
      <c r="A508" s="77"/>
      <c r="B508" s="104"/>
      <c r="C508" s="78"/>
      <c r="D508" s="78"/>
      <c r="E508" s="78"/>
      <c r="F508" s="87"/>
      <c r="G508" s="78"/>
      <c r="J508" s="78"/>
      <c r="K508" s="78"/>
      <c r="P508" s="78"/>
      <c r="Q508" s="78"/>
    </row>
    <row r="509" spans="1:17">
      <c r="A509" s="77"/>
      <c r="B509" s="104"/>
      <c r="C509" s="78"/>
      <c r="D509" s="78"/>
      <c r="E509" s="78"/>
      <c r="F509" s="87"/>
      <c r="G509" s="78"/>
      <c r="J509" s="78"/>
      <c r="K509" s="78"/>
      <c r="P509" s="78"/>
      <c r="Q509" s="78"/>
    </row>
    <row r="510" spans="1:17">
      <c r="A510" s="77"/>
      <c r="B510" s="104"/>
      <c r="C510" s="78"/>
      <c r="D510" s="78"/>
      <c r="E510" s="78"/>
      <c r="F510" s="87"/>
      <c r="G510" s="78"/>
      <c r="J510" s="78"/>
      <c r="K510" s="78"/>
      <c r="P510" s="78"/>
      <c r="Q510" s="78"/>
    </row>
    <row r="511" spans="1:17">
      <c r="A511" s="77"/>
      <c r="B511" s="104"/>
      <c r="C511" s="78"/>
      <c r="D511" s="78"/>
      <c r="E511" s="78"/>
      <c r="F511" s="87"/>
      <c r="G511" s="78"/>
      <c r="J511" s="78"/>
      <c r="K511" s="78"/>
      <c r="P511" s="78"/>
      <c r="Q511" s="78"/>
    </row>
    <row r="512" spans="1:17">
      <c r="A512" s="77"/>
      <c r="B512" s="104"/>
      <c r="C512" s="78"/>
      <c r="D512" s="78"/>
      <c r="E512" s="78"/>
      <c r="F512" s="87"/>
      <c r="G512" s="78"/>
      <c r="J512" s="78"/>
      <c r="K512" s="78"/>
      <c r="P512" s="78"/>
      <c r="Q512" s="78"/>
    </row>
    <row r="513" spans="1:17">
      <c r="A513" s="77"/>
      <c r="B513" s="104"/>
      <c r="C513" s="78"/>
      <c r="D513" s="78"/>
      <c r="E513" s="78"/>
      <c r="F513" s="87"/>
      <c r="G513" s="78"/>
      <c r="J513" s="78"/>
      <c r="K513" s="78"/>
      <c r="P513" s="78"/>
      <c r="Q513" s="78"/>
    </row>
    <row r="514" spans="1:17">
      <c r="A514" s="77"/>
      <c r="B514" s="104"/>
      <c r="C514" s="78"/>
      <c r="D514" s="78"/>
      <c r="E514" s="78"/>
      <c r="F514" s="87"/>
      <c r="G514" s="78"/>
      <c r="J514" s="78"/>
      <c r="K514" s="78"/>
      <c r="P514" s="78"/>
      <c r="Q514" s="78"/>
    </row>
    <row r="515" spans="1:17">
      <c r="A515" s="77"/>
      <c r="B515" s="104"/>
      <c r="C515" s="78"/>
      <c r="D515" s="78"/>
      <c r="E515" s="78"/>
      <c r="F515" s="87"/>
      <c r="G515" s="78"/>
      <c r="J515" s="78"/>
      <c r="K515" s="78"/>
      <c r="P515" s="78"/>
      <c r="Q515" s="78"/>
    </row>
    <row r="516" spans="1:17">
      <c r="A516" s="77"/>
      <c r="B516" s="104"/>
      <c r="C516" s="78"/>
      <c r="D516" s="78"/>
      <c r="E516" s="78"/>
      <c r="F516" s="87"/>
      <c r="G516" s="78"/>
      <c r="J516" s="78"/>
      <c r="K516" s="78"/>
      <c r="P516" s="78"/>
      <c r="Q516" s="78"/>
    </row>
    <row r="517" spans="1:17">
      <c r="A517" s="77"/>
      <c r="B517" s="104"/>
      <c r="C517" s="78"/>
      <c r="D517" s="78"/>
      <c r="E517" s="78"/>
      <c r="F517" s="87"/>
      <c r="G517" s="78"/>
      <c r="J517" s="78"/>
      <c r="K517" s="78"/>
      <c r="P517" s="78"/>
      <c r="Q517" s="78"/>
    </row>
    <row r="518" spans="1:17">
      <c r="A518" s="77"/>
      <c r="B518" s="104"/>
      <c r="C518" s="78"/>
      <c r="D518" s="78"/>
      <c r="E518" s="78"/>
      <c r="F518" s="87"/>
      <c r="G518" s="78"/>
      <c r="J518" s="78"/>
      <c r="K518" s="78"/>
      <c r="P518" s="78"/>
      <c r="Q518" s="78"/>
    </row>
    <row r="519" spans="1:17">
      <c r="A519" s="77"/>
      <c r="B519" s="104"/>
      <c r="C519" s="78"/>
      <c r="D519" s="78"/>
      <c r="E519" s="78"/>
      <c r="F519" s="87"/>
      <c r="G519" s="78"/>
      <c r="J519" s="78"/>
      <c r="K519" s="78"/>
      <c r="P519" s="78"/>
      <c r="Q519" s="78"/>
    </row>
    <row r="520" spans="1:17">
      <c r="A520" s="77"/>
      <c r="B520" s="104"/>
      <c r="C520" s="78"/>
      <c r="D520" s="78"/>
      <c r="E520" s="78"/>
      <c r="F520" s="87"/>
      <c r="G520" s="78"/>
      <c r="J520" s="78"/>
      <c r="K520" s="78"/>
      <c r="P520" s="78"/>
      <c r="Q520" s="78"/>
    </row>
    <row r="521" spans="1:17">
      <c r="A521" s="77"/>
      <c r="B521" s="104"/>
      <c r="C521" s="78"/>
      <c r="D521" s="78"/>
      <c r="E521" s="78"/>
      <c r="F521" s="87"/>
      <c r="G521" s="78"/>
      <c r="J521" s="78"/>
      <c r="K521" s="78"/>
      <c r="P521" s="78"/>
      <c r="Q521" s="78"/>
    </row>
    <row r="522" spans="1:17">
      <c r="A522" s="77"/>
      <c r="B522" s="104"/>
      <c r="C522" s="78"/>
      <c r="D522" s="78"/>
      <c r="E522" s="78"/>
      <c r="F522" s="87"/>
      <c r="G522" s="78"/>
      <c r="J522" s="78"/>
      <c r="K522" s="78"/>
      <c r="P522" s="78"/>
      <c r="Q522" s="78"/>
    </row>
    <row r="523" spans="1:17">
      <c r="A523" s="77"/>
      <c r="B523" s="104"/>
      <c r="C523" s="78"/>
      <c r="D523" s="78"/>
      <c r="E523" s="78"/>
      <c r="F523" s="87"/>
      <c r="G523" s="78"/>
      <c r="J523" s="78"/>
      <c r="K523" s="78"/>
      <c r="P523" s="78"/>
      <c r="Q523" s="78"/>
    </row>
    <row r="524" spans="1:17">
      <c r="A524" s="77"/>
      <c r="B524" s="104"/>
      <c r="C524" s="78"/>
      <c r="D524" s="78"/>
      <c r="E524" s="78"/>
      <c r="F524" s="87"/>
      <c r="G524" s="78"/>
      <c r="J524" s="78"/>
      <c r="K524" s="78"/>
      <c r="P524" s="78"/>
      <c r="Q524" s="78"/>
    </row>
    <row r="525" spans="1:17">
      <c r="A525" s="77"/>
      <c r="B525" s="104"/>
      <c r="C525" s="78"/>
      <c r="D525" s="78"/>
      <c r="E525" s="78"/>
      <c r="F525" s="87"/>
      <c r="G525" s="78"/>
      <c r="J525" s="78"/>
      <c r="K525" s="78"/>
      <c r="P525" s="78"/>
      <c r="Q525" s="78"/>
    </row>
    <row r="526" spans="1:17">
      <c r="A526" s="77"/>
      <c r="B526" s="104"/>
      <c r="C526" s="78"/>
      <c r="D526" s="78"/>
      <c r="E526" s="78"/>
      <c r="F526" s="87"/>
      <c r="G526" s="78"/>
      <c r="J526" s="78"/>
      <c r="K526" s="78"/>
      <c r="P526" s="78"/>
      <c r="Q526" s="78"/>
    </row>
    <row r="527" spans="1:17">
      <c r="A527" s="77"/>
      <c r="B527" s="104"/>
      <c r="C527" s="78"/>
      <c r="D527" s="78"/>
      <c r="E527" s="78"/>
      <c r="F527" s="87"/>
      <c r="G527" s="78"/>
      <c r="J527" s="78"/>
      <c r="K527" s="78"/>
      <c r="P527" s="78"/>
      <c r="Q527" s="78"/>
    </row>
    <row r="528" spans="1:17">
      <c r="A528" s="77"/>
      <c r="B528" s="104"/>
      <c r="C528" s="78"/>
      <c r="D528" s="78"/>
      <c r="E528" s="78"/>
      <c r="F528" s="87"/>
      <c r="G528" s="78"/>
      <c r="J528" s="78"/>
      <c r="K528" s="78"/>
      <c r="P528" s="78"/>
      <c r="Q528" s="78"/>
    </row>
    <row r="529" spans="1:17">
      <c r="A529" s="77"/>
      <c r="B529" s="104"/>
      <c r="C529" s="78"/>
      <c r="D529" s="78"/>
      <c r="E529" s="78"/>
      <c r="F529" s="87"/>
      <c r="G529" s="78"/>
      <c r="J529" s="78"/>
      <c r="K529" s="78"/>
      <c r="P529" s="78"/>
      <c r="Q529" s="78"/>
    </row>
    <row r="530" spans="1:17">
      <c r="A530" s="77"/>
      <c r="B530" s="104"/>
      <c r="C530" s="78"/>
      <c r="D530" s="78"/>
      <c r="E530" s="78"/>
      <c r="F530" s="87"/>
      <c r="G530" s="78"/>
      <c r="J530" s="78"/>
      <c r="K530" s="78"/>
      <c r="P530" s="78"/>
      <c r="Q530" s="78"/>
    </row>
    <row r="531" spans="1:17">
      <c r="A531" s="77"/>
      <c r="B531" s="104"/>
      <c r="C531" s="78"/>
      <c r="D531" s="78"/>
      <c r="E531" s="78"/>
      <c r="F531" s="87"/>
      <c r="G531" s="78"/>
      <c r="J531" s="78"/>
      <c r="K531" s="78"/>
      <c r="P531" s="78"/>
      <c r="Q531" s="78"/>
    </row>
    <row r="532" spans="1:17">
      <c r="A532" s="77"/>
      <c r="B532" s="104"/>
      <c r="C532" s="78"/>
      <c r="D532" s="78"/>
      <c r="E532" s="78"/>
      <c r="F532" s="87"/>
      <c r="G532" s="78"/>
      <c r="J532" s="78"/>
      <c r="K532" s="78"/>
      <c r="P532" s="78"/>
      <c r="Q532" s="78"/>
    </row>
    <row r="533" spans="1:17">
      <c r="A533" s="77"/>
      <c r="B533" s="104"/>
      <c r="C533" s="78"/>
      <c r="D533" s="78"/>
      <c r="E533" s="78"/>
      <c r="F533" s="87"/>
      <c r="G533" s="78"/>
      <c r="J533" s="78"/>
      <c r="K533" s="78"/>
      <c r="P533" s="78"/>
      <c r="Q533" s="78"/>
    </row>
    <row r="534" spans="1:17">
      <c r="A534" s="77"/>
      <c r="B534" s="104"/>
      <c r="C534" s="78"/>
      <c r="D534" s="78"/>
      <c r="E534" s="78"/>
      <c r="F534" s="87"/>
      <c r="G534" s="78"/>
      <c r="J534" s="78"/>
      <c r="K534" s="78"/>
      <c r="P534" s="78"/>
      <c r="Q534" s="78"/>
    </row>
    <row r="535" spans="1:17">
      <c r="A535" s="77"/>
      <c r="B535" s="104"/>
      <c r="C535" s="78"/>
      <c r="D535" s="78"/>
      <c r="E535" s="78"/>
      <c r="F535" s="87"/>
      <c r="G535" s="78"/>
      <c r="J535" s="78"/>
      <c r="K535" s="78"/>
      <c r="P535" s="78"/>
      <c r="Q535" s="78"/>
    </row>
    <row r="536" spans="1:17">
      <c r="A536" s="77"/>
      <c r="B536" s="104"/>
      <c r="C536" s="78"/>
      <c r="D536" s="78"/>
      <c r="E536" s="78"/>
      <c r="F536" s="87"/>
      <c r="G536" s="78"/>
      <c r="J536" s="78"/>
      <c r="K536" s="78"/>
      <c r="P536" s="78"/>
      <c r="Q536" s="78"/>
    </row>
    <row r="537" spans="1:17">
      <c r="A537" s="77"/>
      <c r="B537" s="104"/>
      <c r="C537" s="78"/>
      <c r="D537" s="78"/>
      <c r="E537" s="78"/>
      <c r="F537" s="87"/>
      <c r="G537" s="78"/>
      <c r="J537" s="78"/>
      <c r="K537" s="78"/>
      <c r="P537" s="78"/>
      <c r="Q537" s="78"/>
    </row>
    <row r="538" spans="1:17">
      <c r="A538" s="77"/>
      <c r="B538" s="104"/>
      <c r="C538" s="78"/>
      <c r="D538" s="78"/>
      <c r="E538" s="78"/>
      <c r="F538" s="87"/>
      <c r="G538" s="78"/>
      <c r="J538" s="78"/>
      <c r="K538" s="78"/>
      <c r="P538" s="78"/>
      <c r="Q538" s="78"/>
    </row>
    <row r="539" spans="1:17">
      <c r="A539" s="77"/>
      <c r="B539" s="104"/>
      <c r="C539" s="78"/>
      <c r="D539" s="78"/>
      <c r="E539" s="78"/>
      <c r="F539" s="87"/>
      <c r="G539" s="78"/>
      <c r="J539" s="78"/>
      <c r="K539" s="78"/>
      <c r="P539" s="78"/>
      <c r="Q539" s="78"/>
    </row>
    <row r="540" spans="1:17">
      <c r="A540" s="77"/>
      <c r="B540" s="104"/>
      <c r="C540" s="78"/>
      <c r="D540" s="78"/>
      <c r="E540" s="78"/>
      <c r="F540" s="87"/>
      <c r="G540" s="78"/>
      <c r="J540" s="78"/>
      <c r="K540" s="78"/>
      <c r="P540" s="78"/>
      <c r="Q540" s="78"/>
    </row>
    <row r="541" spans="1:17">
      <c r="A541" s="77"/>
      <c r="B541" s="104"/>
      <c r="C541" s="78"/>
      <c r="D541" s="78"/>
      <c r="E541" s="78"/>
      <c r="F541" s="87"/>
      <c r="G541" s="78"/>
      <c r="J541" s="78"/>
      <c r="K541" s="78"/>
      <c r="P541" s="78"/>
      <c r="Q541" s="78"/>
    </row>
    <row r="542" spans="1:17">
      <c r="A542" s="77"/>
      <c r="B542" s="104"/>
      <c r="C542" s="78"/>
      <c r="D542" s="78"/>
      <c r="E542" s="78"/>
      <c r="F542" s="87"/>
      <c r="G542" s="78"/>
      <c r="J542" s="78"/>
      <c r="K542" s="78"/>
      <c r="P542" s="78"/>
      <c r="Q542" s="78"/>
    </row>
    <row r="543" spans="1:17">
      <c r="A543" s="77"/>
      <c r="B543" s="104"/>
      <c r="C543" s="78"/>
      <c r="D543" s="78"/>
      <c r="E543" s="78"/>
      <c r="F543" s="87"/>
      <c r="G543" s="78"/>
      <c r="J543" s="78"/>
      <c r="K543" s="78"/>
      <c r="P543" s="78"/>
      <c r="Q543" s="78"/>
    </row>
    <row r="544" spans="1:17">
      <c r="A544" s="77"/>
      <c r="B544" s="104"/>
      <c r="C544" s="78"/>
      <c r="D544" s="78"/>
      <c r="E544" s="78"/>
      <c r="F544" s="87"/>
      <c r="G544" s="78"/>
      <c r="J544" s="78"/>
      <c r="K544" s="78"/>
      <c r="P544" s="78"/>
      <c r="Q544" s="78"/>
    </row>
    <row r="545" spans="1:17">
      <c r="A545" s="77"/>
      <c r="B545" s="104"/>
      <c r="C545" s="78"/>
      <c r="D545" s="78"/>
      <c r="E545" s="78"/>
      <c r="F545" s="87"/>
      <c r="G545" s="78"/>
      <c r="J545" s="78"/>
      <c r="K545" s="78"/>
      <c r="P545" s="78"/>
      <c r="Q545" s="78"/>
    </row>
    <row r="546" spans="1:17">
      <c r="A546" s="77"/>
      <c r="B546" s="104"/>
      <c r="C546" s="78"/>
      <c r="D546" s="78"/>
      <c r="E546" s="78"/>
      <c r="F546" s="87"/>
      <c r="G546" s="78"/>
      <c r="J546" s="78"/>
      <c r="K546" s="78"/>
      <c r="P546" s="78"/>
      <c r="Q546" s="78"/>
    </row>
    <row r="547" spans="1:17">
      <c r="A547" s="77"/>
      <c r="B547" s="104"/>
      <c r="C547" s="78"/>
      <c r="D547" s="78"/>
      <c r="E547" s="78"/>
      <c r="F547" s="87"/>
      <c r="G547" s="78"/>
      <c r="J547" s="78"/>
      <c r="K547" s="78"/>
      <c r="P547" s="78"/>
      <c r="Q547" s="78"/>
    </row>
    <row r="548" spans="1:17">
      <c r="A548" s="77"/>
      <c r="B548" s="104"/>
      <c r="C548" s="78"/>
      <c r="D548" s="78"/>
      <c r="E548" s="78"/>
      <c r="F548" s="87"/>
      <c r="G548" s="78"/>
      <c r="J548" s="78"/>
      <c r="K548" s="78"/>
      <c r="P548" s="78"/>
      <c r="Q548" s="78"/>
    </row>
    <row r="549" spans="1:17">
      <c r="A549" s="77"/>
      <c r="B549" s="104"/>
      <c r="C549" s="78"/>
      <c r="D549" s="78"/>
      <c r="E549" s="78"/>
      <c r="F549" s="87"/>
      <c r="G549" s="78"/>
      <c r="J549" s="78"/>
      <c r="K549" s="78"/>
      <c r="P549" s="78"/>
      <c r="Q549" s="78"/>
    </row>
    <row r="550" spans="1:17">
      <c r="A550" s="77"/>
      <c r="B550" s="104"/>
      <c r="C550" s="78"/>
      <c r="D550" s="78"/>
      <c r="E550" s="78"/>
      <c r="F550" s="87"/>
      <c r="G550" s="78"/>
      <c r="J550" s="78"/>
      <c r="K550" s="78"/>
      <c r="P550" s="78"/>
      <c r="Q550" s="78"/>
    </row>
    <row r="551" spans="1:17">
      <c r="A551" s="77"/>
      <c r="B551" s="104"/>
      <c r="C551" s="78"/>
      <c r="D551" s="78"/>
      <c r="E551" s="78"/>
      <c r="F551" s="87"/>
      <c r="G551" s="78"/>
      <c r="J551" s="78"/>
      <c r="K551" s="78"/>
      <c r="P551" s="78"/>
      <c r="Q551" s="78"/>
    </row>
    <row r="552" spans="1:17">
      <c r="A552" s="77"/>
      <c r="B552" s="104"/>
      <c r="C552" s="78"/>
      <c r="D552" s="78"/>
      <c r="E552" s="78"/>
      <c r="F552" s="87"/>
      <c r="G552" s="78"/>
      <c r="J552" s="78"/>
      <c r="K552" s="78"/>
      <c r="P552" s="78"/>
      <c r="Q552" s="78"/>
    </row>
    <row r="553" spans="1:17">
      <c r="A553" s="77"/>
      <c r="B553" s="104"/>
      <c r="C553" s="78"/>
      <c r="D553" s="78"/>
      <c r="E553" s="78"/>
      <c r="F553" s="87"/>
      <c r="G553" s="78"/>
      <c r="J553" s="78"/>
      <c r="K553" s="78"/>
      <c r="P553" s="78"/>
      <c r="Q553" s="78"/>
    </row>
    <row r="554" spans="1:17">
      <c r="A554" s="77"/>
      <c r="B554" s="104"/>
      <c r="C554" s="78"/>
      <c r="D554" s="78"/>
      <c r="E554" s="78"/>
      <c r="F554" s="87"/>
      <c r="G554" s="78"/>
      <c r="J554" s="78"/>
      <c r="K554" s="78"/>
      <c r="P554" s="78"/>
      <c r="Q554" s="78"/>
    </row>
    <row r="555" spans="1:17">
      <c r="A555" s="77"/>
      <c r="B555" s="104"/>
      <c r="C555" s="78"/>
      <c r="D555" s="78"/>
      <c r="E555" s="78"/>
      <c r="F555" s="87"/>
      <c r="G555" s="78"/>
      <c r="J555" s="78"/>
      <c r="K555" s="78"/>
      <c r="P555" s="78"/>
      <c r="Q555" s="78"/>
    </row>
    <row r="556" spans="1:17">
      <c r="A556" s="77"/>
      <c r="B556" s="104"/>
      <c r="C556" s="78"/>
      <c r="D556" s="78"/>
      <c r="E556" s="78"/>
      <c r="F556" s="87"/>
      <c r="G556" s="78"/>
      <c r="J556" s="78"/>
      <c r="K556" s="78"/>
      <c r="P556" s="78"/>
      <c r="Q556" s="78"/>
    </row>
    <row r="557" spans="1:17">
      <c r="A557" s="77"/>
      <c r="B557" s="104"/>
      <c r="C557" s="78"/>
      <c r="D557" s="78"/>
      <c r="E557" s="78"/>
      <c r="F557" s="87"/>
      <c r="G557" s="78"/>
      <c r="J557" s="78"/>
      <c r="K557" s="78"/>
      <c r="P557" s="78"/>
      <c r="Q557" s="78"/>
    </row>
    <row r="558" spans="1:17">
      <c r="A558" s="77"/>
      <c r="B558" s="104"/>
      <c r="C558" s="78"/>
      <c r="D558" s="78"/>
      <c r="E558" s="78"/>
      <c r="F558" s="87"/>
      <c r="G558" s="78"/>
      <c r="J558" s="78"/>
      <c r="K558" s="78"/>
      <c r="P558" s="78"/>
      <c r="Q558" s="78"/>
    </row>
    <row r="559" spans="1:17">
      <c r="A559" s="77"/>
      <c r="B559" s="104"/>
      <c r="C559" s="78"/>
      <c r="D559" s="78"/>
      <c r="E559" s="78"/>
      <c r="F559" s="87"/>
      <c r="G559" s="78"/>
      <c r="J559" s="78"/>
      <c r="K559" s="78"/>
      <c r="P559" s="78"/>
      <c r="Q559" s="78"/>
    </row>
    <row r="560" spans="1:17">
      <c r="A560" s="77"/>
      <c r="B560" s="104"/>
      <c r="C560" s="78"/>
      <c r="D560" s="78"/>
      <c r="E560" s="78"/>
      <c r="F560" s="87"/>
      <c r="G560" s="78"/>
      <c r="J560" s="78"/>
      <c r="K560" s="78"/>
      <c r="P560" s="78"/>
      <c r="Q560" s="78"/>
    </row>
    <row r="561" spans="1:17">
      <c r="A561" s="77"/>
      <c r="B561" s="104"/>
      <c r="C561" s="78"/>
      <c r="D561" s="78"/>
      <c r="E561" s="78"/>
      <c r="F561" s="87"/>
      <c r="G561" s="78"/>
      <c r="J561" s="78"/>
      <c r="K561" s="78"/>
      <c r="P561" s="78"/>
      <c r="Q561" s="78"/>
    </row>
    <row r="562" spans="1:17">
      <c r="A562" s="77"/>
      <c r="B562" s="104"/>
      <c r="C562" s="78"/>
      <c r="D562" s="78"/>
      <c r="E562" s="78"/>
      <c r="F562" s="87"/>
      <c r="G562" s="78"/>
      <c r="J562" s="78"/>
      <c r="K562" s="78"/>
      <c r="P562" s="78"/>
      <c r="Q562" s="78"/>
    </row>
    <row r="563" spans="1:17">
      <c r="A563" s="77"/>
      <c r="B563" s="104"/>
      <c r="C563" s="78"/>
      <c r="D563" s="78"/>
      <c r="E563" s="78"/>
      <c r="F563" s="87"/>
      <c r="G563" s="78"/>
      <c r="J563" s="78"/>
      <c r="K563" s="78"/>
      <c r="P563" s="78"/>
      <c r="Q563" s="78"/>
    </row>
    <row r="564" spans="1:17">
      <c r="A564" s="77"/>
      <c r="B564" s="104"/>
      <c r="C564" s="78"/>
      <c r="D564" s="78"/>
      <c r="E564" s="78"/>
      <c r="F564" s="87"/>
      <c r="G564" s="78"/>
      <c r="J564" s="78"/>
      <c r="K564" s="78"/>
      <c r="P564" s="78"/>
      <c r="Q564" s="78"/>
    </row>
    <row r="565" spans="1:17">
      <c r="A565" s="77"/>
      <c r="B565" s="104"/>
      <c r="C565" s="78"/>
      <c r="D565" s="78"/>
      <c r="E565" s="78"/>
      <c r="F565" s="87"/>
      <c r="G565" s="78"/>
      <c r="J565" s="78"/>
      <c r="K565" s="78"/>
      <c r="P565" s="78"/>
      <c r="Q565" s="78"/>
    </row>
    <row r="566" spans="1:17">
      <c r="A566" s="77"/>
      <c r="B566" s="104"/>
      <c r="C566" s="78"/>
      <c r="D566" s="78"/>
      <c r="E566" s="78"/>
      <c r="F566" s="87"/>
      <c r="G566" s="78"/>
      <c r="J566" s="78"/>
      <c r="K566" s="78"/>
      <c r="P566" s="78"/>
      <c r="Q566" s="78"/>
    </row>
    <row r="567" spans="1:17">
      <c r="A567" s="77"/>
      <c r="B567" s="104"/>
      <c r="C567" s="78"/>
      <c r="D567" s="78"/>
      <c r="E567" s="78"/>
      <c r="F567" s="87"/>
      <c r="G567" s="78"/>
      <c r="J567" s="78"/>
      <c r="K567" s="78"/>
      <c r="P567" s="78"/>
      <c r="Q567" s="78"/>
    </row>
    <row r="568" spans="1:17">
      <c r="A568" s="77"/>
      <c r="B568" s="104"/>
      <c r="C568" s="78"/>
      <c r="D568" s="78"/>
      <c r="E568" s="78"/>
      <c r="F568" s="87"/>
      <c r="G568" s="78"/>
      <c r="J568" s="78"/>
      <c r="K568" s="78"/>
      <c r="P568" s="78"/>
      <c r="Q568" s="78"/>
    </row>
    <row r="569" spans="1:17">
      <c r="A569" s="77"/>
      <c r="B569" s="104"/>
      <c r="C569" s="78"/>
      <c r="D569" s="78"/>
      <c r="E569" s="78"/>
      <c r="F569" s="87"/>
      <c r="G569" s="78"/>
      <c r="J569" s="78"/>
      <c r="K569" s="78"/>
      <c r="P569" s="78"/>
      <c r="Q569" s="78"/>
    </row>
    <row r="570" spans="1:17">
      <c r="A570" s="77"/>
      <c r="B570" s="104"/>
      <c r="C570" s="78"/>
      <c r="D570" s="78"/>
      <c r="E570" s="78"/>
      <c r="F570" s="87"/>
      <c r="G570" s="78"/>
      <c r="J570" s="78"/>
      <c r="K570" s="78"/>
      <c r="P570" s="78"/>
      <c r="Q570" s="78"/>
    </row>
    <row r="571" spans="1:17">
      <c r="A571" s="77"/>
      <c r="B571" s="104"/>
      <c r="C571" s="78"/>
      <c r="D571" s="78"/>
      <c r="E571" s="78"/>
      <c r="F571" s="87"/>
      <c r="G571" s="78"/>
      <c r="J571" s="78"/>
      <c r="K571" s="78"/>
      <c r="P571" s="78"/>
      <c r="Q571" s="78"/>
    </row>
    <row r="572" spans="1:17">
      <c r="A572" s="77"/>
      <c r="B572" s="104"/>
      <c r="C572" s="78"/>
      <c r="D572" s="78"/>
      <c r="E572" s="78"/>
      <c r="F572" s="87"/>
      <c r="G572" s="78"/>
      <c r="J572" s="78"/>
      <c r="K572" s="78"/>
      <c r="P572" s="78"/>
      <c r="Q572" s="78"/>
    </row>
    <row r="573" spans="1:17">
      <c r="A573" s="77"/>
      <c r="B573" s="104"/>
      <c r="C573" s="78"/>
      <c r="D573" s="78"/>
      <c r="E573" s="78"/>
      <c r="F573" s="87"/>
      <c r="G573" s="78"/>
      <c r="J573" s="78"/>
      <c r="K573" s="78"/>
      <c r="P573" s="78"/>
      <c r="Q573" s="78"/>
    </row>
    <row r="574" spans="1:17">
      <c r="A574" s="77"/>
      <c r="B574" s="104"/>
      <c r="C574" s="78"/>
      <c r="D574" s="78"/>
      <c r="E574" s="78"/>
      <c r="F574" s="87"/>
      <c r="G574" s="78"/>
      <c r="J574" s="78"/>
      <c r="K574" s="78"/>
      <c r="P574" s="78"/>
      <c r="Q574" s="78"/>
    </row>
    <row r="575" spans="1:17">
      <c r="A575" s="77"/>
      <c r="B575" s="104"/>
      <c r="C575" s="78"/>
      <c r="D575" s="78"/>
      <c r="E575" s="78"/>
      <c r="F575" s="87"/>
      <c r="G575" s="78"/>
      <c r="J575" s="78"/>
      <c r="K575" s="78"/>
      <c r="P575" s="78"/>
      <c r="Q575" s="78"/>
    </row>
    <row r="576" spans="1:17">
      <c r="A576" s="77"/>
      <c r="B576" s="104"/>
      <c r="C576" s="78"/>
      <c r="D576" s="78"/>
      <c r="E576" s="78"/>
      <c r="F576" s="87"/>
      <c r="G576" s="78"/>
      <c r="J576" s="78"/>
      <c r="K576" s="78"/>
      <c r="P576" s="78"/>
      <c r="Q576" s="78"/>
    </row>
    <row r="577" spans="1:17">
      <c r="A577" s="77"/>
      <c r="B577" s="104"/>
      <c r="C577" s="78"/>
      <c r="D577" s="78"/>
      <c r="E577" s="78"/>
      <c r="F577" s="87"/>
      <c r="G577" s="78"/>
      <c r="J577" s="78"/>
      <c r="K577" s="78"/>
      <c r="P577" s="78"/>
      <c r="Q577" s="78"/>
    </row>
    <row r="578" spans="1:17">
      <c r="A578" s="77"/>
      <c r="B578" s="104"/>
      <c r="C578" s="78"/>
      <c r="D578" s="78"/>
      <c r="E578" s="78"/>
      <c r="F578" s="87"/>
      <c r="G578" s="78"/>
      <c r="J578" s="78"/>
      <c r="K578" s="78"/>
      <c r="P578" s="78"/>
      <c r="Q578" s="78"/>
    </row>
    <row r="579" spans="1:17">
      <c r="A579" s="77"/>
      <c r="B579" s="104"/>
      <c r="C579" s="78"/>
      <c r="D579" s="78"/>
      <c r="E579" s="78"/>
      <c r="F579" s="87"/>
      <c r="G579" s="78"/>
      <c r="J579" s="78"/>
      <c r="K579" s="78"/>
      <c r="P579" s="78"/>
      <c r="Q579" s="78"/>
    </row>
    <row r="580" spans="1:17">
      <c r="A580" s="77"/>
      <c r="B580" s="104"/>
      <c r="C580" s="78"/>
      <c r="D580" s="78"/>
      <c r="E580" s="78"/>
      <c r="F580" s="87"/>
      <c r="G580" s="78"/>
      <c r="J580" s="78"/>
      <c r="K580" s="78"/>
      <c r="P580" s="78"/>
      <c r="Q580" s="78"/>
    </row>
    <row r="581" spans="1:17">
      <c r="A581" s="77"/>
      <c r="B581" s="104"/>
      <c r="C581" s="78"/>
      <c r="D581" s="78"/>
      <c r="E581" s="78"/>
      <c r="F581" s="87"/>
      <c r="G581" s="78"/>
      <c r="J581" s="78"/>
      <c r="K581" s="78"/>
      <c r="P581" s="78"/>
      <c r="Q581" s="78"/>
    </row>
    <row r="582" spans="1:17">
      <c r="A582" s="77"/>
      <c r="B582" s="104"/>
      <c r="C582" s="78"/>
      <c r="D582" s="78"/>
      <c r="E582" s="78"/>
      <c r="F582" s="87"/>
      <c r="G582" s="78"/>
      <c r="J582" s="78"/>
      <c r="K582" s="78"/>
      <c r="P582" s="78"/>
      <c r="Q582" s="78"/>
    </row>
    <row r="583" spans="1:17">
      <c r="A583" s="77"/>
      <c r="B583" s="104"/>
      <c r="C583" s="78"/>
      <c r="D583" s="78"/>
      <c r="E583" s="78"/>
      <c r="F583" s="87"/>
      <c r="G583" s="78"/>
      <c r="J583" s="78"/>
      <c r="K583" s="78"/>
      <c r="P583" s="78"/>
      <c r="Q583" s="78"/>
    </row>
    <row r="584" spans="1:17">
      <c r="A584" s="77"/>
      <c r="B584" s="104"/>
      <c r="C584" s="78"/>
      <c r="D584" s="78"/>
      <c r="E584" s="78"/>
      <c r="F584" s="87"/>
      <c r="G584" s="78"/>
      <c r="J584" s="78"/>
      <c r="K584" s="78"/>
      <c r="P584" s="78"/>
      <c r="Q584" s="78"/>
    </row>
    <row r="585" spans="1:17">
      <c r="A585" s="77"/>
      <c r="B585" s="104"/>
      <c r="C585" s="78"/>
      <c r="D585" s="78"/>
      <c r="E585" s="78"/>
      <c r="F585" s="87"/>
      <c r="G585" s="78"/>
      <c r="J585" s="78"/>
      <c r="K585" s="78"/>
      <c r="P585" s="78"/>
      <c r="Q585" s="78"/>
    </row>
    <row r="586" spans="1:17">
      <c r="A586" s="77"/>
      <c r="B586" s="104"/>
      <c r="C586" s="78"/>
      <c r="D586" s="78"/>
      <c r="E586" s="78"/>
      <c r="F586" s="87"/>
      <c r="G586" s="78"/>
      <c r="J586" s="78"/>
      <c r="K586" s="78"/>
      <c r="P586" s="78"/>
      <c r="Q586" s="78"/>
    </row>
    <row r="587" spans="1:17">
      <c r="A587" s="77"/>
      <c r="B587" s="104"/>
      <c r="C587" s="78"/>
      <c r="D587" s="78"/>
      <c r="E587" s="78"/>
      <c r="F587" s="87"/>
      <c r="G587" s="78"/>
      <c r="J587" s="78"/>
      <c r="K587" s="78"/>
      <c r="P587" s="78"/>
      <c r="Q587" s="78"/>
    </row>
    <row r="588" spans="1:17">
      <c r="A588" s="77"/>
      <c r="B588" s="104"/>
      <c r="C588" s="78"/>
      <c r="D588" s="78"/>
      <c r="E588" s="78"/>
      <c r="F588" s="87"/>
      <c r="G588" s="78"/>
      <c r="J588" s="78"/>
      <c r="K588" s="78"/>
      <c r="P588" s="78"/>
      <c r="Q588" s="78"/>
    </row>
    <row r="589" spans="1:17">
      <c r="A589" s="77"/>
      <c r="B589" s="104"/>
      <c r="C589" s="78"/>
      <c r="D589" s="78"/>
      <c r="E589" s="78"/>
      <c r="F589" s="87"/>
      <c r="G589" s="78"/>
      <c r="J589" s="78"/>
      <c r="K589" s="78"/>
      <c r="P589" s="78"/>
      <c r="Q589" s="78"/>
    </row>
    <row r="590" spans="1:17">
      <c r="A590" s="77"/>
      <c r="B590" s="104"/>
      <c r="C590" s="78"/>
      <c r="D590" s="78"/>
      <c r="E590" s="78"/>
      <c r="F590" s="87"/>
      <c r="G590" s="78"/>
      <c r="J590" s="78"/>
      <c r="K590" s="78"/>
      <c r="P590" s="78"/>
      <c r="Q590" s="78"/>
    </row>
    <row r="591" spans="1:17">
      <c r="A591" s="77"/>
      <c r="B591" s="104"/>
      <c r="C591" s="78"/>
      <c r="D591" s="78"/>
      <c r="E591" s="78"/>
      <c r="F591" s="87"/>
      <c r="G591" s="78"/>
      <c r="J591" s="78"/>
      <c r="K591" s="78"/>
      <c r="P591" s="78"/>
      <c r="Q591" s="78"/>
    </row>
    <row r="592" spans="1:17">
      <c r="A592" s="77"/>
      <c r="B592" s="104"/>
      <c r="C592" s="78"/>
      <c r="D592" s="78"/>
      <c r="E592" s="78"/>
      <c r="F592" s="87"/>
      <c r="G592" s="78"/>
      <c r="J592" s="78"/>
      <c r="K592" s="78"/>
      <c r="P592" s="78"/>
      <c r="Q592" s="78"/>
    </row>
    <row r="593" spans="1:17">
      <c r="A593" s="77"/>
      <c r="B593" s="104"/>
      <c r="C593" s="78"/>
      <c r="D593" s="78"/>
      <c r="E593" s="78"/>
      <c r="F593" s="87"/>
      <c r="G593" s="78"/>
      <c r="J593" s="78"/>
      <c r="K593" s="78"/>
      <c r="P593" s="78"/>
      <c r="Q593" s="78"/>
    </row>
    <row r="594" spans="1:17">
      <c r="A594" s="77"/>
      <c r="B594" s="104"/>
      <c r="C594" s="78"/>
      <c r="D594" s="78"/>
      <c r="E594" s="78"/>
      <c r="F594" s="87"/>
      <c r="G594" s="78"/>
      <c r="J594" s="78"/>
      <c r="K594" s="78"/>
      <c r="P594" s="78"/>
      <c r="Q594" s="78"/>
    </row>
    <row r="595" spans="1:17">
      <c r="A595" s="77"/>
      <c r="B595" s="104"/>
      <c r="C595" s="78"/>
      <c r="D595" s="78"/>
      <c r="E595" s="78"/>
      <c r="F595" s="87"/>
      <c r="G595" s="78"/>
      <c r="J595" s="78"/>
      <c r="K595" s="78"/>
      <c r="P595" s="78"/>
      <c r="Q595" s="78"/>
    </row>
    <row r="596" spans="1:17">
      <c r="A596" s="77"/>
      <c r="B596" s="104"/>
      <c r="C596" s="78"/>
      <c r="D596" s="78"/>
      <c r="E596" s="78"/>
      <c r="F596" s="87"/>
      <c r="G596" s="78"/>
      <c r="J596" s="78"/>
      <c r="K596" s="78"/>
      <c r="P596" s="78"/>
      <c r="Q596" s="78"/>
    </row>
    <row r="597" spans="1:17">
      <c r="A597" s="77"/>
      <c r="B597" s="104"/>
      <c r="C597" s="78"/>
      <c r="D597" s="78"/>
      <c r="E597" s="78"/>
      <c r="F597" s="87"/>
      <c r="G597" s="78"/>
      <c r="J597" s="78"/>
      <c r="K597" s="78"/>
      <c r="P597" s="78"/>
      <c r="Q597" s="78"/>
    </row>
    <row r="598" spans="1:17">
      <c r="A598" s="77"/>
      <c r="B598" s="104"/>
      <c r="C598" s="78"/>
      <c r="D598" s="78"/>
      <c r="E598" s="78"/>
      <c r="F598" s="87"/>
      <c r="G598" s="78"/>
      <c r="J598" s="78"/>
      <c r="K598" s="78"/>
      <c r="P598" s="78"/>
      <c r="Q598" s="78"/>
    </row>
    <row r="599" spans="1:17">
      <c r="A599" s="77"/>
      <c r="B599" s="104"/>
      <c r="C599" s="78"/>
      <c r="D599" s="78"/>
      <c r="E599" s="78"/>
      <c r="F599" s="87"/>
      <c r="G599" s="78"/>
      <c r="J599" s="78"/>
      <c r="K599" s="78"/>
      <c r="P599" s="78"/>
      <c r="Q599" s="78"/>
    </row>
    <row r="600" spans="1:17">
      <c r="A600" s="77"/>
      <c r="B600" s="104"/>
      <c r="C600" s="78"/>
      <c r="D600" s="78"/>
      <c r="E600" s="78"/>
      <c r="F600" s="87"/>
      <c r="G600" s="78"/>
      <c r="J600" s="78"/>
      <c r="K600" s="78"/>
      <c r="P600" s="78"/>
      <c r="Q600" s="78"/>
    </row>
    <row r="601" spans="1:17">
      <c r="A601" s="77"/>
      <c r="B601" s="104"/>
      <c r="C601" s="78"/>
      <c r="D601" s="78"/>
      <c r="E601" s="78"/>
      <c r="F601" s="87"/>
      <c r="G601" s="78"/>
      <c r="J601" s="78"/>
      <c r="K601" s="78"/>
      <c r="P601" s="78"/>
      <c r="Q601" s="78"/>
    </row>
    <row r="602" spans="1:17">
      <c r="A602" s="77"/>
      <c r="B602" s="104"/>
      <c r="C602" s="78"/>
      <c r="D602" s="78"/>
      <c r="E602" s="78"/>
      <c r="F602" s="87"/>
      <c r="G602" s="78"/>
      <c r="J602" s="78"/>
      <c r="K602" s="78"/>
      <c r="P602" s="78"/>
      <c r="Q602" s="78"/>
    </row>
    <row r="603" spans="1:17">
      <c r="A603" s="77"/>
      <c r="B603" s="104"/>
      <c r="C603" s="78"/>
      <c r="D603" s="78"/>
      <c r="E603" s="78"/>
      <c r="F603" s="87"/>
      <c r="G603" s="78"/>
      <c r="J603" s="78"/>
      <c r="K603" s="78"/>
      <c r="P603" s="78"/>
      <c r="Q603" s="78"/>
    </row>
    <row r="604" spans="1:17">
      <c r="A604" s="77"/>
      <c r="B604" s="104"/>
      <c r="C604" s="78"/>
      <c r="D604" s="78"/>
      <c r="E604" s="78"/>
      <c r="F604" s="87"/>
      <c r="G604" s="78"/>
      <c r="J604" s="78"/>
      <c r="K604" s="78"/>
      <c r="P604" s="78"/>
      <c r="Q604" s="78"/>
    </row>
    <row r="605" spans="1:17">
      <c r="A605" s="77"/>
      <c r="B605" s="104"/>
      <c r="C605" s="78"/>
      <c r="D605" s="78"/>
      <c r="E605" s="78"/>
      <c r="F605" s="87"/>
      <c r="G605" s="78"/>
      <c r="J605" s="78"/>
      <c r="K605" s="78"/>
      <c r="P605" s="78"/>
      <c r="Q605" s="78"/>
    </row>
    <row r="606" spans="1:17">
      <c r="A606" s="77"/>
      <c r="B606" s="104"/>
      <c r="C606" s="78"/>
      <c r="D606" s="78"/>
      <c r="E606" s="78"/>
      <c r="F606" s="87"/>
      <c r="G606" s="78"/>
      <c r="J606" s="78"/>
      <c r="K606" s="78"/>
      <c r="P606" s="78"/>
      <c r="Q606" s="78"/>
    </row>
    <row r="607" spans="1:17">
      <c r="A607" s="77"/>
      <c r="B607" s="104"/>
      <c r="C607" s="78"/>
      <c r="D607" s="78"/>
      <c r="E607" s="78"/>
      <c r="F607" s="87"/>
      <c r="G607" s="78"/>
      <c r="J607" s="78"/>
      <c r="K607" s="78"/>
      <c r="P607" s="78"/>
      <c r="Q607" s="78"/>
    </row>
    <row r="608" spans="1:17">
      <c r="A608" s="77"/>
      <c r="B608" s="104"/>
      <c r="C608" s="78"/>
      <c r="D608" s="78"/>
      <c r="E608" s="78"/>
      <c r="F608" s="87"/>
      <c r="G608" s="78"/>
      <c r="J608" s="78"/>
      <c r="K608" s="78"/>
      <c r="P608" s="78"/>
      <c r="Q608" s="78"/>
    </row>
    <row r="609" spans="1:17">
      <c r="A609" s="77"/>
      <c r="B609" s="104"/>
      <c r="C609" s="78"/>
      <c r="D609" s="78"/>
      <c r="E609" s="78"/>
      <c r="F609" s="87"/>
      <c r="G609" s="78"/>
      <c r="J609" s="78"/>
      <c r="K609" s="78"/>
      <c r="P609" s="78"/>
      <c r="Q609" s="78"/>
    </row>
    <row r="610" spans="1:17">
      <c r="A610" s="77"/>
      <c r="B610" s="104"/>
      <c r="C610" s="78"/>
      <c r="D610" s="78"/>
      <c r="E610" s="78"/>
      <c r="F610" s="87"/>
      <c r="G610" s="78"/>
      <c r="J610" s="78"/>
      <c r="K610" s="78"/>
      <c r="P610" s="78"/>
      <c r="Q610" s="78"/>
    </row>
    <row r="611" spans="1:17">
      <c r="A611" s="77"/>
      <c r="B611" s="104"/>
      <c r="C611" s="78"/>
      <c r="D611" s="78"/>
      <c r="E611" s="78"/>
      <c r="F611" s="87"/>
      <c r="G611" s="78"/>
      <c r="J611" s="78"/>
      <c r="K611" s="78"/>
      <c r="P611" s="78"/>
      <c r="Q611" s="78"/>
    </row>
    <row r="612" spans="1:17">
      <c r="A612" s="77"/>
      <c r="B612" s="104"/>
      <c r="C612" s="78"/>
      <c r="D612" s="78"/>
      <c r="E612" s="78"/>
      <c r="F612" s="87"/>
      <c r="G612" s="78"/>
      <c r="J612" s="78"/>
      <c r="K612" s="78"/>
      <c r="P612" s="78"/>
      <c r="Q612" s="78"/>
    </row>
    <row r="613" spans="1:17">
      <c r="A613" s="77"/>
      <c r="B613" s="104"/>
      <c r="C613" s="78"/>
      <c r="D613" s="78"/>
      <c r="E613" s="78"/>
      <c r="F613" s="87"/>
      <c r="G613" s="78"/>
      <c r="J613" s="78"/>
      <c r="K613" s="78"/>
      <c r="P613" s="78"/>
      <c r="Q613" s="78"/>
    </row>
    <row r="614" spans="1:17">
      <c r="A614" s="77"/>
      <c r="B614" s="104"/>
      <c r="C614" s="78"/>
      <c r="D614" s="78"/>
      <c r="E614" s="78"/>
      <c r="F614" s="87"/>
      <c r="G614" s="78"/>
      <c r="J614" s="78"/>
      <c r="K614" s="78"/>
      <c r="P614" s="78"/>
      <c r="Q614" s="78"/>
    </row>
    <row r="615" spans="1:17">
      <c r="A615" s="77"/>
      <c r="B615" s="104"/>
      <c r="C615" s="78"/>
      <c r="D615" s="78"/>
      <c r="E615" s="78"/>
      <c r="F615" s="87"/>
      <c r="G615" s="78"/>
      <c r="J615" s="78"/>
      <c r="K615" s="78"/>
      <c r="P615" s="78"/>
      <c r="Q615" s="78"/>
    </row>
    <row r="616" spans="1:17">
      <c r="A616" s="77"/>
      <c r="B616" s="104"/>
      <c r="C616" s="78"/>
      <c r="D616" s="78"/>
      <c r="E616" s="78"/>
      <c r="F616" s="87"/>
      <c r="G616" s="78"/>
      <c r="J616" s="78"/>
      <c r="K616" s="78"/>
      <c r="P616" s="78"/>
      <c r="Q616" s="78"/>
    </row>
    <row r="617" spans="1:17">
      <c r="A617" s="77"/>
      <c r="B617" s="104"/>
      <c r="C617" s="78"/>
      <c r="D617" s="78"/>
      <c r="E617" s="78"/>
      <c r="F617" s="87"/>
      <c r="G617" s="78"/>
      <c r="J617" s="78"/>
      <c r="K617" s="78"/>
      <c r="P617" s="78"/>
      <c r="Q617" s="78"/>
    </row>
    <row r="618" spans="1:17">
      <c r="A618" s="77"/>
      <c r="B618" s="104"/>
      <c r="C618" s="78"/>
      <c r="D618" s="78"/>
      <c r="E618" s="78"/>
      <c r="F618" s="87"/>
      <c r="G618" s="78"/>
      <c r="J618" s="78"/>
      <c r="K618" s="78"/>
      <c r="P618" s="78"/>
      <c r="Q618" s="78"/>
    </row>
    <row r="619" spans="1:17">
      <c r="A619" s="77"/>
      <c r="B619" s="104"/>
      <c r="C619" s="78"/>
      <c r="D619" s="78"/>
      <c r="E619" s="78"/>
      <c r="F619" s="87"/>
      <c r="G619" s="78"/>
      <c r="J619" s="78"/>
      <c r="K619" s="78"/>
      <c r="P619" s="78"/>
      <c r="Q619" s="78"/>
    </row>
    <row r="620" spans="1:17">
      <c r="A620" s="77"/>
      <c r="B620" s="104"/>
      <c r="C620" s="78"/>
      <c r="D620" s="78"/>
      <c r="E620" s="78"/>
      <c r="F620" s="87"/>
      <c r="G620" s="78"/>
      <c r="J620" s="78"/>
      <c r="K620" s="78"/>
      <c r="P620" s="78"/>
      <c r="Q620" s="78"/>
    </row>
    <row r="621" spans="1:17">
      <c r="A621" s="77"/>
      <c r="B621" s="104"/>
      <c r="C621" s="78"/>
      <c r="D621" s="78"/>
      <c r="E621" s="78"/>
      <c r="F621" s="87"/>
      <c r="G621" s="78"/>
      <c r="J621" s="78"/>
      <c r="K621" s="78"/>
      <c r="P621" s="78"/>
      <c r="Q621" s="78"/>
    </row>
    <row r="622" spans="1:17">
      <c r="A622" s="77"/>
      <c r="B622" s="104"/>
      <c r="C622" s="78"/>
      <c r="D622" s="78"/>
      <c r="E622" s="78"/>
      <c r="F622" s="87"/>
      <c r="G622" s="78"/>
      <c r="J622" s="78"/>
      <c r="K622" s="78"/>
      <c r="P622" s="78"/>
      <c r="Q622" s="78"/>
    </row>
    <row r="623" spans="1:17">
      <c r="A623" s="77"/>
      <c r="B623" s="104"/>
      <c r="C623" s="78"/>
      <c r="D623" s="78"/>
      <c r="E623" s="78"/>
      <c r="F623" s="87"/>
      <c r="G623" s="78"/>
      <c r="J623" s="78"/>
      <c r="K623" s="78"/>
      <c r="P623" s="78"/>
      <c r="Q623" s="78"/>
    </row>
    <row r="624" spans="1:17">
      <c r="A624" s="77"/>
      <c r="B624" s="104"/>
      <c r="C624" s="78"/>
      <c r="D624" s="78"/>
      <c r="E624" s="78"/>
      <c r="F624" s="87"/>
      <c r="G624" s="78"/>
      <c r="J624" s="78"/>
      <c r="K624" s="78"/>
      <c r="P624" s="78"/>
      <c r="Q624" s="78"/>
    </row>
    <row r="625" spans="1:17">
      <c r="A625" s="77"/>
      <c r="B625" s="104"/>
      <c r="C625" s="78"/>
      <c r="D625" s="78"/>
      <c r="E625" s="78"/>
      <c r="F625" s="87"/>
      <c r="G625" s="78"/>
      <c r="J625" s="78"/>
      <c r="K625" s="78"/>
      <c r="P625" s="78"/>
      <c r="Q625" s="78"/>
    </row>
    <row r="626" spans="1:17">
      <c r="A626" s="77"/>
      <c r="B626" s="104"/>
      <c r="C626" s="78"/>
      <c r="D626" s="78"/>
      <c r="E626" s="78"/>
      <c r="F626" s="87"/>
      <c r="G626" s="78"/>
      <c r="J626" s="78"/>
      <c r="K626" s="78"/>
      <c r="P626" s="78"/>
      <c r="Q626" s="78"/>
    </row>
    <row r="627" spans="1:17">
      <c r="A627" s="77"/>
      <c r="B627" s="104"/>
      <c r="C627" s="78"/>
      <c r="D627" s="78"/>
      <c r="E627" s="78"/>
      <c r="F627" s="87"/>
      <c r="G627" s="78"/>
      <c r="J627" s="78"/>
      <c r="K627" s="78"/>
      <c r="P627" s="78"/>
      <c r="Q627" s="78"/>
    </row>
    <row r="628" spans="1:17">
      <c r="A628" s="77"/>
      <c r="B628" s="104"/>
      <c r="C628" s="78"/>
      <c r="D628" s="78"/>
      <c r="E628" s="78"/>
      <c r="F628" s="87"/>
      <c r="G628" s="78"/>
      <c r="J628" s="78"/>
      <c r="K628" s="78"/>
      <c r="P628" s="78"/>
      <c r="Q628" s="78"/>
    </row>
    <row r="629" spans="1:17">
      <c r="A629" s="77"/>
      <c r="B629" s="104"/>
      <c r="C629" s="78"/>
      <c r="D629" s="78"/>
      <c r="E629" s="78"/>
      <c r="F629" s="87"/>
      <c r="G629" s="78"/>
      <c r="J629" s="78"/>
      <c r="K629" s="78"/>
      <c r="P629" s="78"/>
      <c r="Q629" s="78"/>
    </row>
    <row r="630" spans="1:17">
      <c r="A630" s="77"/>
      <c r="B630" s="104"/>
      <c r="C630" s="78"/>
      <c r="D630" s="78"/>
      <c r="E630" s="78"/>
      <c r="F630" s="87"/>
      <c r="G630" s="78"/>
      <c r="J630" s="78"/>
      <c r="K630" s="78"/>
      <c r="P630" s="78"/>
      <c r="Q630" s="78"/>
    </row>
    <row r="631" spans="1:17">
      <c r="A631" s="77"/>
      <c r="B631" s="104"/>
      <c r="C631" s="78"/>
      <c r="D631" s="78"/>
      <c r="E631" s="78"/>
      <c r="F631" s="87"/>
      <c r="G631" s="78"/>
      <c r="J631" s="78"/>
      <c r="K631" s="78"/>
      <c r="P631" s="78"/>
      <c r="Q631" s="78"/>
    </row>
    <row r="632" spans="1:17">
      <c r="A632" s="77"/>
      <c r="B632" s="104"/>
      <c r="C632" s="78"/>
      <c r="D632" s="78"/>
      <c r="E632" s="78"/>
      <c r="F632" s="87"/>
      <c r="G632" s="78"/>
      <c r="J632" s="78"/>
      <c r="K632" s="78"/>
      <c r="P632" s="78"/>
      <c r="Q632" s="78"/>
    </row>
    <row r="633" spans="1:17">
      <c r="A633" s="77"/>
      <c r="B633" s="104"/>
      <c r="C633" s="78"/>
      <c r="D633" s="78"/>
      <c r="E633" s="78"/>
      <c r="F633" s="87"/>
      <c r="G633" s="78"/>
      <c r="J633" s="78"/>
      <c r="K633" s="78"/>
      <c r="P633" s="78"/>
      <c r="Q633" s="78"/>
    </row>
    <row r="634" spans="1:17">
      <c r="A634" s="77"/>
      <c r="B634" s="104"/>
      <c r="C634" s="78"/>
      <c r="D634" s="78"/>
      <c r="E634" s="78"/>
      <c r="F634" s="87"/>
      <c r="G634" s="78"/>
      <c r="J634" s="78"/>
      <c r="K634" s="78"/>
      <c r="P634" s="78"/>
      <c r="Q634" s="78"/>
    </row>
    <row r="635" spans="1:17">
      <c r="A635" s="77"/>
      <c r="B635" s="104"/>
      <c r="C635" s="78"/>
      <c r="D635" s="78"/>
      <c r="E635" s="78"/>
      <c r="F635" s="87"/>
      <c r="G635" s="78"/>
      <c r="J635" s="78"/>
      <c r="K635" s="78"/>
      <c r="P635" s="78"/>
      <c r="Q635" s="78"/>
    </row>
    <row r="636" spans="1:17">
      <c r="A636" s="77"/>
      <c r="B636" s="104"/>
      <c r="C636" s="78"/>
      <c r="D636" s="78"/>
      <c r="E636" s="78"/>
      <c r="F636" s="87"/>
      <c r="G636" s="78"/>
      <c r="J636" s="78"/>
      <c r="K636" s="78"/>
      <c r="P636" s="78"/>
      <c r="Q636" s="78"/>
    </row>
    <row r="637" spans="1:17">
      <c r="A637" s="77"/>
      <c r="B637" s="104"/>
      <c r="C637" s="78"/>
      <c r="D637" s="78"/>
      <c r="E637" s="78"/>
      <c r="F637" s="87"/>
      <c r="G637" s="78"/>
      <c r="J637" s="78"/>
      <c r="K637" s="78"/>
      <c r="P637" s="78"/>
      <c r="Q637" s="78"/>
    </row>
    <row r="638" spans="1:17">
      <c r="A638" s="77"/>
      <c r="B638" s="104"/>
      <c r="C638" s="78"/>
      <c r="D638" s="78"/>
      <c r="E638" s="78"/>
      <c r="F638" s="87"/>
      <c r="G638" s="78"/>
      <c r="J638" s="78"/>
      <c r="K638" s="78"/>
      <c r="P638" s="78"/>
      <c r="Q638" s="78"/>
    </row>
    <row r="639" spans="1:17">
      <c r="A639" s="77"/>
      <c r="B639" s="104"/>
      <c r="C639" s="78"/>
      <c r="D639" s="78"/>
      <c r="E639" s="78"/>
      <c r="F639" s="87"/>
      <c r="G639" s="78"/>
      <c r="J639" s="78"/>
      <c r="K639" s="78"/>
      <c r="P639" s="78"/>
      <c r="Q639" s="78"/>
    </row>
    <row r="640" spans="1:17">
      <c r="A640" s="77"/>
      <c r="B640" s="104"/>
      <c r="C640" s="78"/>
      <c r="D640" s="78"/>
      <c r="E640" s="78"/>
      <c r="F640" s="87"/>
      <c r="G640" s="78"/>
      <c r="J640" s="78"/>
      <c r="K640" s="78"/>
      <c r="P640" s="78"/>
      <c r="Q640" s="78"/>
    </row>
    <row r="641" spans="1:17">
      <c r="A641" s="77"/>
      <c r="B641" s="104"/>
      <c r="C641" s="78"/>
      <c r="D641" s="78"/>
      <c r="E641" s="78"/>
      <c r="F641" s="87"/>
      <c r="G641" s="78"/>
      <c r="J641" s="78"/>
      <c r="K641" s="78"/>
      <c r="P641" s="78"/>
      <c r="Q641" s="78"/>
    </row>
    <row r="642" spans="1:17">
      <c r="A642" s="77"/>
      <c r="B642" s="104"/>
      <c r="C642" s="78"/>
      <c r="D642" s="78"/>
      <c r="E642" s="78"/>
      <c r="F642" s="87"/>
      <c r="G642" s="78"/>
      <c r="J642" s="78"/>
      <c r="K642" s="78"/>
      <c r="P642" s="78"/>
      <c r="Q642" s="78"/>
    </row>
    <row r="643" spans="1:17">
      <c r="A643" s="77"/>
      <c r="B643" s="104"/>
      <c r="C643" s="78"/>
      <c r="D643" s="78"/>
      <c r="E643" s="78"/>
      <c r="F643" s="87"/>
      <c r="G643" s="78"/>
      <c r="J643" s="78"/>
      <c r="K643" s="78"/>
      <c r="P643" s="78"/>
      <c r="Q643" s="78"/>
    </row>
    <row r="644" spans="1:17">
      <c r="A644" s="77"/>
      <c r="B644" s="104"/>
      <c r="C644" s="78"/>
      <c r="D644" s="78"/>
      <c r="E644" s="78"/>
      <c r="F644" s="87"/>
      <c r="G644" s="78"/>
      <c r="J644" s="78"/>
      <c r="K644" s="78"/>
      <c r="P644" s="78"/>
      <c r="Q644" s="78"/>
    </row>
    <row r="645" spans="1:17">
      <c r="A645" s="77"/>
      <c r="B645" s="104"/>
      <c r="C645" s="78"/>
      <c r="D645" s="78"/>
      <c r="E645" s="78"/>
      <c r="F645" s="87"/>
      <c r="G645" s="78"/>
      <c r="J645" s="78"/>
      <c r="K645" s="78"/>
      <c r="P645" s="78"/>
      <c r="Q645" s="78"/>
    </row>
    <row r="646" spans="1:17">
      <c r="A646" s="77"/>
      <c r="B646" s="104"/>
      <c r="C646" s="78"/>
      <c r="D646" s="78"/>
      <c r="E646" s="78"/>
      <c r="F646" s="87"/>
      <c r="G646" s="78"/>
      <c r="J646" s="78"/>
      <c r="K646" s="78"/>
      <c r="P646" s="78"/>
      <c r="Q646" s="78"/>
    </row>
    <row r="647" spans="1:17">
      <c r="A647" s="77"/>
      <c r="B647" s="104"/>
      <c r="C647" s="78"/>
      <c r="D647" s="78"/>
      <c r="E647" s="78"/>
      <c r="F647" s="87"/>
      <c r="G647" s="78"/>
      <c r="J647" s="78"/>
      <c r="K647" s="78"/>
      <c r="P647" s="78"/>
      <c r="Q647" s="78"/>
    </row>
    <row r="648" spans="1:17">
      <c r="A648" s="77"/>
      <c r="B648" s="104"/>
      <c r="C648" s="78"/>
      <c r="D648" s="78"/>
      <c r="E648" s="78"/>
      <c r="F648" s="87"/>
      <c r="G648" s="78"/>
      <c r="J648" s="78"/>
      <c r="K648" s="78"/>
      <c r="P648" s="78"/>
      <c r="Q648" s="78"/>
    </row>
    <row r="649" spans="1:17">
      <c r="A649" s="77"/>
      <c r="B649" s="104"/>
      <c r="C649" s="78"/>
      <c r="D649" s="78"/>
      <c r="E649" s="78"/>
      <c r="F649" s="87"/>
      <c r="G649" s="78"/>
      <c r="J649" s="78"/>
      <c r="K649" s="78"/>
      <c r="P649" s="78"/>
      <c r="Q649" s="78"/>
    </row>
    <row r="650" spans="1:17">
      <c r="A650" s="77"/>
      <c r="B650" s="104"/>
      <c r="C650" s="78"/>
      <c r="D650" s="78"/>
      <c r="E650" s="78"/>
      <c r="F650" s="87"/>
      <c r="G650" s="78"/>
      <c r="J650" s="78"/>
      <c r="K650" s="78"/>
      <c r="P650" s="78"/>
      <c r="Q650" s="78"/>
    </row>
    <row r="651" spans="1:17">
      <c r="A651" s="77"/>
      <c r="B651" s="104"/>
      <c r="C651" s="78"/>
      <c r="D651" s="78"/>
      <c r="E651" s="78"/>
      <c r="F651" s="87"/>
      <c r="G651" s="78"/>
      <c r="J651" s="78"/>
      <c r="K651" s="78"/>
      <c r="P651" s="78"/>
      <c r="Q651" s="78"/>
    </row>
    <row r="652" spans="1:17">
      <c r="A652" s="77"/>
      <c r="B652" s="104"/>
      <c r="C652" s="78"/>
      <c r="D652" s="78"/>
      <c r="E652" s="78"/>
      <c r="F652" s="87"/>
      <c r="G652" s="78"/>
      <c r="J652" s="78"/>
      <c r="K652" s="78"/>
      <c r="P652" s="78"/>
      <c r="Q652" s="78"/>
    </row>
    <row r="653" spans="1:17">
      <c r="A653" s="77"/>
      <c r="B653" s="104"/>
      <c r="C653" s="78"/>
      <c r="D653" s="78"/>
      <c r="E653" s="78"/>
      <c r="F653" s="87"/>
      <c r="G653" s="78"/>
      <c r="J653" s="78"/>
      <c r="K653" s="78"/>
      <c r="P653" s="78"/>
      <c r="Q653" s="78"/>
    </row>
    <row r="654" spans="1:17">
      <c r="A654" s="77"/>
      <c r="B654" s="104"/>
      <c r="C654" s="78"/>
      <c r="D654" s="78"/>
      <c r="E654" s="78"/>
      <c r="F654" s="87"/>
      <c r="G654" s="78"/>
      <c r="J654" s="78"/>
      <c r="K654" s="78"/>
      <c r="P654" s="78"/>
      <c r="Q654" s="78"/>
    </row>
    <row r="655" spans="1:17">
      <c r="A655" s="77"/>
      <c r="B655" s="104"/>
      <c r="C655" s="78"/>
      <c r="D655" s="78"/>
      <c r="E655" s="78"/>
      <c r="F655" s="87"/>
      <c r="G655" s="78"/>
      <c r="J655" s="78"/>
      <c r="K655" s="78"/>
      <c r="P655" s="78"/>
      <c r="Q655" s="78"/>
    </row>
    <row r="656" spans="1:17">
      <c r="A656" s="77"/>
      <c r="B656" s="104"/>
      <c r="C656" s="78"/>
      <c r="D656" s="78"/>
      <c r="E656" s="78"/>
      <c r="F656" s="87"/>
      <c r="G656" s="78"/>
      <c r="J656" s="78"/>
      <c r="K656" s="78"/>
      <c r="P656" s="78"/>
      <c r="Q656" s="78"/>
    </row>
    <row r="657" spans="1:17">
      <c r="A657" s="77"/>
      <c r="B657" s="104"/>
      <c r="C657" s="78"/>
      <c r="D657" s="78"/>
      <c r="E657" s="78"/>
      <c r="F657" s="87"/>
      <c r="G657" s="78"/>
      <c r="J657" s="78"/>
      <c r="K657" s="78"/>
      <c r="P657" s="78"/>
      <c r="Q657" s="78"/>
    </row>
    <row r="658" spans="1:17">
      <c r="A658" s="77"/>
      <c r="B658" s="104"/>
      <c r="C658" s="78"/>
      <c r="D658" s="78"/>
      <c r="E658" s="78"/>
      <c r="F658" s="87"/>
      <c r="G658" s="78"/>
      <c r="J658" s="78"/>
      <c r="K658" s="78"/>
      <c r="P658" s="78"/>
      <c r="Q658" s="78"/>
    </row>
    <row r="659" spans="1:17">
      <c r="A659" s="77"/>
      <c r="B659" s="104"/>
      <c r="C659" s="78"/>
      <c r="D659" s="78"/>
      <c r="E659" s="78"/>
      <c r="F659" s="87"/>
      <c r="G659" s="78"/>
      <c r="J659" s="78"/>
      <c r="K659" s="78"/>
      <c r="P659" s="78"/>
      <c r="Q659" s="78"/>
    </row>
    <row r="660" spans="1:17">
      <c r="A660" s="77"/>
      <c r="B660" s="104"/>
      <c r="C660" s="78"/>
      <c r="D660" s="78"/>
      <c r="E660" s="78"/>
      <c r="F660" s="87"/>
      <c r="G660" s="78"/>
      <c r="J660" s="78"/>
      <c r="K660" s="78"/>
      <c r="P660" s="78"/>
      <c r="Q660" s="78"/>
    </row>
    <row r="661" spans="1:17">
      <c r="A661" s="77"/>
      <c r="B661" s="104"/>
      <c r="C661" s="78"/>
      <c r="D661" s="78"/>
      <c r="E661" s="78"/>
      <c r="F661" s="87"/>
      <c r="G661" s="78"/>
      <c r="J661" s="78"/>
      <c r="K661" s="78"/>
      <c r="P661" s="78"/>
      <c r="Q661" s="78"/>
    </row>
    <row r="662" spans="1:17">
      <c r="A662" s="77"/>
      <c r="B662" s="104"/>
      <c r="C662" s="78"/>
      <c r="D662" s="78"/>
      <c r="E662" s="78"/>
      <c r="F662" s="87"/>
      <c r="G662" s="78"/>
      <c r="J662" s="78"/>
      <c r="K662" s="78"/>
      <c r="P662" s="78"/>
      <c r="Q662" s="78"/>
    </row>
    <row r="663" spans="1:17">
      <c r="A663" s="77"/>
      <c r="B663" s="104"/>
      <c r="C663" s="78"/>
      <c r="D663" s="78"/>
      <c r="E663" s="78"/>
      <c r="F663" s="87"/>
      <c r="G663" s="78"/>
      <c r="J663" s="78"/>
      <c r="K663" s="78"/>
      <c r="P663" s="78"/>
      <c r="Q663" s="78"/>
    </row>
    <row r="664" spans="1:17">
      <c r="A664" s="77"/>
      <c r="B664" s="104"/>
      <c r="C664" s="78"/>
      <c r="D664" s="78"/>
      <c r="E664" s="78"/>
      <c r="F664" s="87"/>
      <c r="G664" s="78"/>
      <c r="J664" s="78"/>
      <c r="K664" s="78"/>
      <c r="P664" s="78"/>
      <c r="Q664" s="78"/>
    </row>
    <row r="665" spans="1:17">
      <c r="A665" s="77"/>
      <c r="B665" s="104"/>
      <c r="C665" s="78"/>
      <c r="D665" s="78"/>
      <c r="E665" s="78"/>
      <c r="F665" s="87"/>
      <c r="G665" s="78"/>
      <c r="J665" s="78"/>
      <c r="K665" s="78"/>
      <c r="P665" s="78"/>
      <c r="Q665" s="78"/>
    </row>
    <row r="666" spans="1:17">
      <c r="A666" s="77"/>
      <c r="B666" s="104"/>
      <c r="C666" s="78"/>
      <c r="D666" s="78"/>
      <c r="E666" s="78"/>
      <c r="F666" s="87"/>
      <c r="G666" s="78"/>
      <c r="J666" s="78"/>
      <c r="K666" s="78"/>
      <c r="P666" s="78"/>
      <c r="Q666" s="78"/>
    </row>
    <row r="667" spans="1:17">
      <c r="A667" s="77"/>
      <c r="B667" s="104"/>
      <c r="C667" s="78"/>
      <c r="D667" s="78"/>
      <c r="E667" s="78"/>
      <c r="F667" s="87"/>
      <c r="G667" s="78"/>
      <c r="J667" s="78"/>
      <c r="K667" s="78"/>
      <c r="P667" s="78"/>
      <c r="Q667" s="78"/>
    </row>
    <row r="668" spans="1:17">
      <c r="A668" s="77"/>
      <c r="B668" s="104"/>
      <c r="C668" s="78"/>
      <c r="D668" s="78"/>
      <c r="E668" s="78"/>
      <c r="F668" s="87"/>
      <c r="G668" s="78"/>
      <c r="J668" s="78"/>
      <c r="K668" s="78"/>
      <c r="P668" s="78"/>
      <c r="Q668" s="78"/>
    </row>
    <row r="669" spans="1:17">
      <c r="A669" s="77"/>
      <c r="B669" s="104"/>
      <c r="C669" s="78"/>
      <c r="D669" s="78"/>
      <c r="E669" s="78"/>
      <c r="F669" s="87"/>
      <c r="G669" s="78"/>
      <c r="J669" s="78"/>
      <c r="K669" s="78"/>
      <c r="P669" s="78"/>
      <c r="Q669" s="78"/>
    </row>
    <row r="670" spans="1:17">
      <c r="A670" s="77"/>
      <c r="B670" s="104"/>
      <c r="C670" s="78"/>
      <c r="D670" s="78"/>
      <c r="E670" s="78"/>
      <c r="F670" s="87"/>
      <c r="G670" s="78"/>
      <c r="J670" s="78"/>
      <c r="K670" s="78"/>
      <c r="P670" s="78"/>
      <c r="Q670" s="78"/>
    </row>
    <row r="671" spans="1:17">
      <c r="A671" s="77"/>
      <c r="B671" s="104"/>
      <c r="C671" s="78"/>
      <c r="D671" s="78"/>
      <c r="E671" s="78"/>
      <c r="F671" s="87"/>
      <c r="G671" s="78"/>
      <c r="J671" s="78"/>
      <c r="K671" s="78"/>
      <c r="P671" s="78"/>
      <c r="Q671" s="78"/>
    </row>
    <row r="672" spans="1:17">
      <c r="A672" s="77"/>
      <c r="B672" s="104"/>
      <c r="C672" s="78"/>
      <c r="D672" s="78"/>
      <c r="E672" s="78"/>
      <c r="F672" s="87"/>
      <c r="G672" s="78"/>
      <c r="J672" s="78"/>
      <c r="K672" s="78"/>
      <c r="P672" s="78"/>
      <c r="Q672" s="78"/>
    </row>
    <row r="673" spans="1:17">
      <c r="A673" s="77"/>
      <c r="B673" s="104"/>
      <c r="C673" s="78"/>
      <c r="D673" s="78"/>
      <c r="E673" s="78"/>
      <c r="F673" s="87"/>
      <c r="G673" s="78"/>
      <c r="J673" s="78"/>
      <c r="K673" s="78"/>
      <c r="P673" s="78"/>
      <c r="Q673" s="78"/>
    </row>
    <row r="674" spans="1:17">
      <c r="A674" s="77"/>
      <c r="B674" s="104"/>
      <c r="C674" s="78"/>
      <c r="D674" s="78"/>
      <c r="E674" s="78"/>
      <c r="F674" s="87"/>
      <c r="G674" s="78"/>
      <c r="J674" s="78"/>
      <c r="K674" s="78"/>
      <c r="P674" s="78"/>
      <c r="Q674" s="78"/>
    </row>
    <row r="675" spans="1:17">
      <c r="A675" s="77"/>
      <c r="B675" s="104"/>
      <c r="C675" s="78"/>
      <c r="D675" s="78"/>
      <c r="E675" s="78"/>
      <c r="F675" s="87"/>
      <c r="G675" s="78"/>
      <c r="J675" s="78"/>
      <c r="K675" s="78"/>
      <c r="P675" s="78"/>
      <c r="Q675" s="78"/>
    </row>
    <row r="676" spans="1:17">
      <c r="A676" s="77"/>
      <c r="B676" s="104"/>
      <c r="C676" s="78"/>
      <c r="D676" s="78"/>
      <c r="E676" s="78"/>
      <c r="F676" s="87"/>
      <c r="G676" s="78"/>
      <c r="J676" s="78"/>
      <c r="K676" s="78"/>
      <c r="P676" s="78"/>
      <c r="Q676" s="78"/>
    </row>
    <row r="677" spans="1:17">
      <c r="A677" s="77"/>
      <c r="B677" s="104"/>
      <c r="C677" s="78"/>
      <c r="D677" s="78"/>
      <c r="E677" s="78"/>
      <c r="F677" s="87"/>
      <c r="G677" s="78"/>
      <c r="J677" s="78"/>
      <c r="K677" s="78"/>
      <c r="P677" s="78"/>
      <c r="Q677" s="78"/>
    </row>
    <row r="678" spans="1:17">
      <c r="A678" s="77"/>
      <c r="B678" s="104"/>
      <c r="C678" s="78"/>
      <c r="D678" s="78"/>
      <c r="E678" s="78"/>
      <c r="F678" s="87"/>
      <c r="G678" s="78"/>
      <c r="J678" s="78"/>
      <c r="K678" s="78"/>
      <c r="P678" s="78"/>
      <c r="Q678" s="78"/>
    </row>
    <row r="679" spans="1:17">
      <c r="A679" s="77"/>
      <c r="B679" s="104"/>
      <c r="C679" s="78"/>
      <c r="D679" s="78"/>
      <c r="E679" s="78"/>
      <c r="F679" s="87"/>
      <c r="G679" s="78"/>
      <c r="J679" s="78"/>
      <c r="K679" s="78"/>
      <c r="P679" s="78"/>
      <c r="Q679" s="78"/>
    </row>
    <row r="680" spans="1:17">
      <c r="A680" s="77"/>
      <c r="B680" s="104"/>
      <c r="C680" s="78"/>
      <c r="D680" s="78"/>
      <c r="E680" s="78"/>
      <c r="F680" s="87"/>
      <c r="G680" s="78"/>
      <c r="J680" s="78"/>
      <c r="K680" s="78"/>
      <c r="P680" s="78"/>
      <c r="Q680" s="78"/>
    </row>
    <row r="681" spans="1:17">
      <c r="A681" s="77"/>
      <c r="B681" s="104"/>
      <c r="C681" s="78"/>
      <c r="D681" s="78"/>
      <c r="E681" s="78"/>
      <c r="F681" s="87"/>
      <c r="G681" s="78"/>
      <c r="J681" s="78"/>
      <c r="K681" s="78"/>
      <c r="P681" s="78"/>
      <c r="Q681" s="78"/>
    </row>
    <row r="682" spans="1:17">
      <c r="A682" s="77"/>
      <c r="B682" s="104"/>
      <c r="C682" s="78"/>
      <c r="D682" s="78"/>
      <c r="E682" s="78"/>
      <c r="F682" s="87"/>
      <c r="G682" s="78"/>
      <c r="J682" s="78"/>
      <c r="K682" s="78"/>
      <c r="P682" s="78"/>
      <c r="Q682" s="78"/>
    </row>
    <row r="683" spans="1:17">
      <c r="A683" s="77"/>
      <c r="B683" s="104"/>
      <c r="C683" s="78"/>
      <c r="D683" s="78"/>
      <c r="E683" s="78"/>
      <c r="F683" s="87"/>
      <c r="G683" s="78"/>
      <c r="J683" s="78"/>
      <c r="K683" s="78"/>
      <c r="P683" s="78"/>
      <c r="Q683" s="78"/>
    </row>
    <row r="684" spans="1:17">
      <c r="A684" s="77"/>
      <c r="B684" s="104"/>
      <c r="C684" s="78"/>
      <c r="D684" s="78"/>
      <c r="E684" s="78"/>
      <c r="F684" s="87"/>
      <c r="G684" s="78"/>
      <c r="J684" s="78"/>
      <c r="K684" s="78"/>
      <c r="P684" s="78"/>
      <c r="Q684" s="78"/>
    </row>
    <row r="685" spans="1:17">
      <c r="A685" s="77"/>
      <c r="B685" s="104"/>
      <c r="C685" s="78"/>
      <c r="D685" s="78"/>
      <c r="E685" s="78"/>
      <c r="F685" s="87"/>
      <c r="G685" s="78"/>
      <c r="J685" s="78"/>
      <c r="K685" s="78"/>
      <c r="P685" s="78"/>
      <c r="Q685" s="78"/>
    </row>
    <row r="686" spans="1:17">
      <c r="A686" s="77"/>
      <c r="B686" s="104"/>
      <c r="C686" s="78"/>
      <c r="D686" s="78"/>
      <c r="E686" s="78"/>
      <c r="F686" s="87"/>
      <c r="G686" s="78"/>
      <c r="J686" s="78"/>
      <c r="K686" s="78"/>
      <c r="P686" s="78"/>
      <c r="Q686" s="78"/>
    </row>
    <row r="687" spans="1:17">
      <c r="A687" s="77"/>
      <c r="B687" s="104"/>
      <c r="C687" s="78"/>
      <c r="D687" s="78"/>
      <c r="E687" s="78"/>
      <c r="F687" s="87"/>
      <c r="G687" s="78"/>
      <c r="J687" s="78"/>
      <c r="K687" s="78"/>
      <c r="P687" s="78"/>
      <c r="Q687" s="78"/>
    </row>
    <row r="688" spans="1:17">
      <c r="A688" s="77"/>
      <c r="B688" s="104"/>
      <c r="C688" s="78"/>
      <c r="D688" s="78"/>
      <c r="E688" s="78"/>
      <c r="F688" s="87"/>
      <c r="G688" s="78"/>
      <c r="J688" s="78"/>
      <c r="K688" s="78"/>
      <c r="P688" s="78"/>
      <c r="Q688" s="78"/>
    </row>
    <row r="689" spans="1:17">
      <c r="A689" s="77"/>
      <c r="B689" s="104"/>
      <c r="C689" s="78"/>
      <c r="D689" s="78"/>
      <c r="E689" s="78"/>
      <c r="F689" s="87"/>
      <c r="G689" s="78"/>
      <c r="J689" s="78"/>
      <c r="K689" s="78"/>
      <c r="P689" s="78"/>
      <c r="Q689" s="78"/>
    </row>
    <row r="690" spans="1:17">
      <c r="A690" s="77"/>
      <c r="B690" s="104"/>
      <c r="C690" s="78"/>
      <c r="D690" s="78"/>
      <c r="E690" s="78"/>
      <c r="F690" s="87"/>
      <c r="G690" s="78"/>
      <c r="J690" s="78"/>
      <c r="K690" s="78"/>
      <c r="P690" s="78"/>
      <c r="Q690" s="78"/>
    </row>
    <row r="691" spans="1:17">
      <c r="A691" s="77"/>
      <c r="B691" s="104"/>
      <c r="C691" s="78"/>
      <c r="D691" s="78"/>
      <c r="E691" s="78"/>
      <c r="F691" s="87"/>
      <c r="G691" s="78"/>
      <c r="J691" s="78"/>
      <c r="K691" s="78"/>
      <c r="P691" s="78"/>
      <c r="Q691" s="78"/>
    </row>
    <row r="692" spans="1:17">
      <c r="A692" s="77"/>
      <c r="B692" s="104"/>
      <c r="C692" s="78"/>
      <c r="D692" s="78"/>
      <c r="E692" s="78"/>
      <c r="F692" s="87"/>
      <c r="G692" s="78"/>
      <c r="J692" s="78"/>
      <c r="K692" s="78"/>
      <c r="P692" s="78"/>
      <c r="Q692" s="78"/>
    </row>
    <row r="693" spans="1:17">
      <c r="A693" s="77"/>
      <c r="B693" s="104"/>
      <c r="C693" s="78"/>
      <c r="D693" s="78"/>
      <c r="E693" s="78"/>
      <c r="F693" s="87"/>
      <c r="G693" s="78"/>
      <c r="J693" s="78"/>
      <c r="K693" s="78"/>
      <c r="P693" s="78"/>
      <c r="Q693" s="78"/>
    </row>
    <row r="694" spans="1:17">
      <c r="A694" s="77"/>
      <c r="B694" s="104"/>
      <c r="C694" s="78"/>
      <c r="D694" s="78"/>
      <c r="E694" s="78"/>
      <c r="F694" s="87"/>
      <c r="G694" s="78"/>
      <c r="J694" s="78"/>
      <c r="K694" s="78"/>
      <c r="P694" s="78"/>
      <c r="Q694" s="78"/>
    </row>
    <row r="695" spans="1:17">
      <c r="A695" s="77"/>
      <c r="B695" s="104"/>
      <c r="C695" s="78"/>
      <c r="D695" s="78"/>
      <c r="E695" s="78"/>
      <c r="F695" s="87"/>
      <c r="G695" s="78"/>
      <c r="J695" s="78"/>
      <c r="K695" s="78"/>
      <c r="P695" s="78"/>
      <c r="Q695" s="78"/>
    </row>
    <row r="696" spans="1:17">
      <c r="A696" s="77"/>
      <c r="B696" s="104"/>
      <c r="C696" s="78"/>
      <c r="D696" s="78"/>
      <c r="E696" s="78"/>
      <c r="F696" s="87"/>
      <c r="G696" s="78"/>
      <c r="J696" s="78"/>
      <c r="K696" s="78"/>
      <c r="P696" s="78"/>
      <c r="Q696" s="78"/>
    </row>
    <row r="697" spans="1:17">
      <c r="A697" s="77"/>
      <c r="B697" s="104"/>
      <c r="C697" s="78"/>
      <c r="D697" s="78"/>
      <c r="E697" s="78"/>
      <c r="F697" s="87"/>
      <c r="G697" s="78"/>
      <c r="J697" s="78"/>
      <c r="K697" s="78"/>
      <c r="P697" s="78"/>
      <c r="Q697" s="78"/>
    </row>
    <row r="698" spans="1:17">
      <c r="A698" s="77"/>
      <c r="B698" s="104"/>
      <c r="C698" s="78"/>
      <c r="D698" s="78"/>
      <c r="E698" s="78"/>
      <c r="F698" s="87"/>
      <c r="G698" s="78"/>
      <c r="J698" s="78"/>
      <c r="K698" s="78"/>
      <c r="P698" s="78"/>
      <c r="Q698" s="78"/>
    </row>
    <row r="699" spans="1:17">
      <c r="A699" s="77"/>
      <c r="B699" s="104"/>
      <c r="C699" s="78"/>
      <c r="D699" s="78"/>
      <c r="E699" s="78"/>
      <c r="F699" s="87"/>
      <c r="G699" s="78"/>
      <c r="J699" s="78"/>
      <c r="K699" s="78"/>
      <c r="P699" s="78"/>
      <c r="Q699" s="78"/>
    </row>
    <row r="700" spans="1:17">
      <c r="A700" s="77"/>
      <c r="B700" s="104"/>
      <c r="C700" s="78"/>
      <c r="D700" s="78"/>
      <c r="E700" s="78"/>
      <c r="F700" s="87"/>
      <c r="G700" s="78"/>
      <c r="J700" s="78"/>
      <c r="K700" s="78"/>
      <c r="P700" s="78"/>
      <c r="Q700" s="78"/>
    </row>
    <row r="701" spans="1:17">
      <c r="A701" s="77"/>
      <c r="B701" s="104"/>
      <c r="C701" s="78"/>
      <c r="D701" s="78"/>
      <c r="E701" s="78"/>
      <c r="F701" s="87"/>
      <c r="G701" s="78"/>
      <c r="J701" s="78"/>
      <c r="K701" s="78"/>
      <c r="P701" s="78"/>
      <c r="Q701" s="78"/>
    </row>
    <row r="702" spans="1:17">
      <c r="A702" s="77"/>
      <c r="B702" s="104"/>
      <c r="C702" s="78"/>
      <c r="D702" s="78"/>
      <c r="E702" s="78"/>
      <c r="F702" s="87"/>
      <c r="G702" s="78"/>
      <c r="J702" s="78"/>
      <c r="K702" s="78"/>
      <c r="P702" s="78"/>
      <c r="Q702" s="78"/>
    </row>
    <row r="703" spans="1:17">
      <c r="A703" s="77"/>
      <c r="B703" s="104"/>
      <c r="C703" s="78"/>
      <c r="D703" s="78"/>
      <c r="E703" s="78"/>
      <c r="F703" s="87"/>
      <c r="G703" s="78"/>
      <c r="J703" s="78"/>
      <c r="K703" s="78"/>
      <c r="P703" s="78"/>
      <c r="Q703" s="78"/>
    </row>
    <row r="704" spans="1:17">
      <c r="A704" s="77"/>
      <c r="B704" s="104"/>
      <c r="C704" s="78"/>
      <c r="D704" s="78"/>
      <c r="E704" s="78"/>
      <c r="F704" s="87"/>
      <c r="G704" s="78"/>
      <c r="J704" s="78"/>
      <c r="K704" s="78"/>
      <c r="P704" s="78"/>
      <c r="Q704" s="78"/>
    </row>
    <row r="705" spans="1:17">
      <c r="A705" s="77"/>
      <c r="B705" s="104"/>
      <c r="C705" s="78"/>
      <c r="D705" s="78"/>
      <c r="E705" s="78"/>
      <c r="F705" s="87"/>
      <c r="G705" s="78"/>
      <c r="J705" s="78"/>
      <c r="K705" s="78"/>
      <c r="P705" s="78"/>
      <c r="Q705" s="78"/>
    </row>
    <row r="706" spans="1:17">
      <c r="A706" s="77"/>
      <c r="B706" s="104"/>
      <c r="C706" s="78"/>
      <c r="D706" s="78"/>
      <c r="E706" s="78"/>
      <c r="F706" s="87"/>
      <c r="G706" s="78"/>
      <c r="J706" s="78"/>
      <c r="K706" s="78"/>
      <c r="P706" s="78"/>
      <c r="Q706" s="78"/>
    </row>
    <row r="707" spans="1:17">
      <c r="A707" s="77"/>
      <c r="B707" s="104"/>
      <c r="C707" s="78"/>
      <c r="D707" s="78"/>
      <c r="E707" s="78"/>
      <c r="F707" s="87"/>
      <c r="G707" s="78"/>
      <c r="J707" s="78"/>
      <c r="K707" s="78"/>
      <c r="P707" s="78"/>
      <c r="Q707" s="78"/>
    </row>
    <row r="708" spans="1:17">
      <c r="A708" s="77"/>
      <c r="B708" s="104"/>
      <c r="C708" s="78"/>
      <c r="D708" s="78"/>
      <c r="E708" s="78"/>
      <c r="F708" s="87"/>
      <c r="G708" s="78"/>
      <c r="J708" s="78"/>
      <c r="K708" s="78"/>
      <c r="P708" s="78"/>
      <c r="Q708" s="78"/>
    </row>
    <row r="709" spans="1:17">
      <c r="A709" s="77"/>
      <c r="B709" s="104"/>
      <c r="C709" s="78"/>
      <c r="D709" s="78"/>
      <c r="E709" s="78"/>
      <c r="F709" s="87"/>
      <c r="G709" s="78"/>
      <c r="J709" s="78"/>
      <c r="K709" s="78"/>
      <c r="P709" s="78"/>
      <c r="Q709" s="78"/>
    </row>
    <row r="710" spans="1:17">
      <c r="A710" s="77"/>
      <c r="B710" s="104"/>
      <c r="C710" s="78"/>
      <c r="D710" s="78"/>
      <c r="E710" s="78"/>
      <c r="F710" s="87"/>
      <c r="G710" s="78"/>
      <c r="J710" s="78"/>
      <c r="K710" s="78"/>
      <c r="P710" s="78"/>
      <c r="Q710" s="78"/>
    </row>
    <row r="711" spans="1:17">
      <c r="A711" s="77"/>
      <c r="B711" s="104"/>
      <c r="C711" s="78"/>
      <c r="D711" s="78"/>
      <c r="E711" s="78"/>
      <c r="F711" s="87"/>
      <c r="G711" s="78"/>
      <c r="J711" s="78"/>
      <c r="K711" s="78"/>
      <c r="P711" s="78"/>
      <c r="Q711" s="78"/>
    </row>
    <row r="712" spans="1:17">
      <c r="A712" s="77"/>
      <c r="B712" s="104"/>
      <c r="C712" s="78"/>
      <c r="D712" s="78"/>
      <c r="E712" s="78"/>
      <c r="F712" s="87"/>
      <c r="G712" s="78"/>
      <c r="J712" s="78"/>
      <c r="K712" s="78"/>
      <c r="P712" s="78"/>
      <c r="Q712" s="78"/>
    </row>
    <row r="713" spans="1:17">
      <c r="A713" s="77"/>
      <c r="B713" s="104"/>
      <c r="C713" s="78"/>
      <c r="D713" s="78"/>
      <c r="E713" s="78"/>
      <c r="F713" s="87"/>
      <c r="G713" s="78"/>
      <c r="J713" s="78"/>
      <c r="K713" s="78"/>
      <c r="P713" s="78"/>
      <c r="Q713" s="78"/>
    </row>
    <row r="714" spans="1:17">
      <c r="A714" s="77"/>
      <c r="B714" s="104"/>
      <c r="C714" s="78"/>
      <c r="D714" s="78"/>
      <c r="E714" s="78"/>
      <c r="F714" s="87"/>
      <c r="G714" s="78"/>
      <c r="J714" s="78"/>
      <c r="K714" s="78"/>
      <c r="P714" s="78"/>
      <c r="Q714" s="78"/>
    </row>
    <row r="715" spans="1:17">
      <c r="A715" s="77"/>
      <c r="B715" s="104"/>
      <c r="C715" s="78"/>
      <c r="D715" s="78"/>
      <c r="E715" s="78"/>
      <c r="F715" s="87"/>
      <c r="G715" s="78"/>
      <c r="J715" s="78"/>
      <c r="K715" s="78"/>
      <c r="P715" s="78"/>
      <c r="Q715" s="78"/>
    </row>
    <row r="716" spans="1:17">
      <c r="A716" s="77"/>
      <c r="B716" s="104"/>
      <c r="C716" s="78"/>
      <c r="D716" s="78"/>
      <c r="E716" s="78"/>
      <c r="F716" s="87"/>
      <c r="G716" s="78"/>
      <c r="J716" s="78"/>
      <c r="K716" s="78"/>
      <c r="P716" s="78"/>
      <c r="Q716" s="78"/>
    </row>
    <row r="717" spans="1:17">
      <c r="A717" s="77"/>
      <c r="B717" s="104"/>
      <c r="C717" s="78"/>
      <c r="D717" s="78"/>
      <c r="E717" s="78"/>
      <c r="F717" s="87"/>
      <c r="G717" s="78"/>
      <c r="J717" s="78"/>
      <c r="K717" s="78"/>
      <c r="P717" s="78"/>
      <c r="Q717" s="78"/>
    </row>
    <row r="718" spans="1:17">
      <c r="A718" s="77"/>
      <c r="B718" s="104"/>
      <c r="C718" s="78"/>
      <c r="D718" s="78"/>
      <c r="E718" s="78"/>
      <c r="F718" s="87"/>
      <c r="G718" s="78"/>
      <c r="J718" s="78"/>
      <c r="K718" s="78"/>
      <c r="P718" s="78"/>
      <c r="Q718" s="78"/>
    </row>
    <row r="719" spans="1:17">
      <c r="A719" s="77"/>
      <c r="B719" s="104"/>
      <c r="C719" s="78"/>
      <c r="D719" s="78"/>
      <c r="E719" s="78"/>
      <c r="F719" s="87"/>
      <c r="G719" s="78"/>
      <c r="J719" s="78"/>
      <c r="K719" s="78"/>
      <c r="P719" s="78"/>
      <c r="Q719" s="78"/>
    </row>
    <row r="720" spans="1:17">
      <c r="A720" s="77"/>
      <c r="B720" s="104"/>
      <c r="C720" s="78"/>
      <c r="D720" s="78"/>
      <c r="E720" s="78"/>
      <c r="F720" s="87"/>
      <c r="G720" s="78"/>
      <c r="J720" s="78"/>
      <c r="K720" s="78"/>
      <c r="P720" s="78"/>
      <c r="Q720" s="78"/>
    </row>
    <row r="721" spans="1:17">
      <c r="A721" s="77"/>
      <c r="B721" s="104"/>
      <c r="C721" s="78"/>
      <c r="D721" s="78"/>
      <c r="E721" s="78"/>
      <c r="F721" s="87"/>
      <c r="G721" s="78"/>
      <c r="J721" s="78"/>
      <c r="K721" s="78"/>
      <c r="P721" s="78"/>
      <c r="Q721" s="78"/>
    </row>
    <row r="722" spans="1:17">
      <c r="A722" s="77"/>
      <c r="B722" s="104"/>
      <c r="C722" s="78"/>
      <c r="D722" s="78"/>
      <c r="E722" s="78"/>
      <c r="F722" s="87"/>
      <c r="G722" s="78"/>
      <c r="J722" s="78"/>
      <c r="K722" s="78"/>
      <c r="P722" s="78"/>
      <c r="Q722" s="78"/>
    </row>
    <row r="723" spans="1:17">
      <c r="A723" s="77"/>
      <c r="B723" s="104"/>
      <c r="C723" s="78"/>
      <c r="D723" s="78"/>
      <c r="E723" s="78"/>
      <c r="F723" s="87"/>
      <c r="G723" s="78"/>
      <c r="J723" s="78"/>
      <c r="K723" s="78"/>
      <c r="P723" s="78"/>
      <c r="Q723" s="78"/>
    </row>
    <row r="724" spans="1:17">
      <c r="A724" s="77"/>
      <c r="B724" s="104"/>
      <c r="C724" s="78"/>
      <c r="D724" s="78"/>
      <c r="E724" s="78"/>
      <c r="F724" s="87"/>
      <c r="G724" s="78"/>
      <c r="J724" s="78"/>
      <c r="K724" s="78"/>
      <c r="P724" s="78"/>
      <c r="Q724" s="78"/>
    </row>
    <row r="725" spans="1:17">
      <c r="A725" s="77"/>
      <c r="B725" s="104"/>
      <c r="C725" s="78"/>
      <c r="D725" s="78"/>
      <c r="E725" s="78"/>
      <c r="F725" s="87"/>
      <c r="G725" s="78"/>
      <c r="J725" s="78"/>
      <c r="K725" s="78"/>
      <c r="P725" s="78"/>
      <c r="Q725" s="78"/>
    </row>
    <row r="726" spans="1:17">
      <c r="A726" s="77"/>
      <c r="B726" s="104"/>
      <c r="C726" s="78"/>
      <c r="D726" s="78"/>
      <c r="E726" s="78"/>
      <c r="F726" s="87"/>
      <c r="G726" s="78"/>
      <c r="J726" s="78"/>
      <c r="K726" s="78"/>
      <c r="P726" s="78"/>
      <c r="Q726" s="78"/>
    </row>
    <row r="727" spans="1:17">
      <c r="A727" s="77"/>
      <c r="B727" s="104"/>
      <c r="C727" s="78"/>
      <c r="D727" s="78"/>
      <c r="E727" s="78"/>
      <c r="F727" s="87"/>
      <c r="G727" s="78"/>
      <c r="J727" s="78"/>
      <c r="K727" s="78"/>
      <c r="P727" s="78"/>
      <c r="Q727" s="78"/>
    </row>
    <row r="728" spans="1:17">
      <c r="A728" s="77"/>
      <c r="B728" s="104"/>
      <c r="C728" s="78"/>
      <c r="D728" s="78"/>
      <c r="E728" s="78"/>
      <c r="F728" s="87"/>
      <c r="G728" s="78"/>
      <c r="J728" s="78"/>
      <c r="K728" s="78"/>
      <c r="P728" s="78"/>
      <c r="Q728" s="78"/>
    </row>
    <row r="729" spans="1:17">
      <c r="A729" s="77"/>
      <c r="B729" s="104"/>
      <c r="C729" s="78"/>
      <c r="D729" s="78"/>
      <c r="E729" s="78"/>
      <c r="F729" s="87"/>
      <c r="G729" s="78"/>
      <c r="J729" s="78"/>
      <c r="K729" s="78"/>
      <c r="P729" s="78"/>
      <c r="Q729" s="78"/>
    </row>
    <row r="730" spans="1:17">
      <c r="A730" s="77"/>
      <c r="B730" s="104"/>
      <c r="C730" s="78"/>
      <c r="D730" s="78"/>
      <c r="E730" s="78"/>
      <c r="F730" s="87"/>
      <c r="G730" s="78"/>
      <c r="J730" s="78"/>
      <c r="K730" s="78"/>
      <c r="P730" s="78"/>
      <c r="Q730" s="78"/>
    </row>
    <row r="731" spans="1:17">
      <c r="A731" s="77"/>
      <c r="B731" s="104"/>
      <c r="C731" s="78"/>
      <c r="D731" s="78"/>
      <c r="E731" s="78"/>
      <c r="F731" s="87"/>
      <c r="G731" s="78"/>
      <c r="J731" s="78"/>
      <c r="K731" s="78"/>
      <c r="P731" s="78"/>
      <c r="Q731" s="78"/>
    </row>
    <row r="732" spans="1:17">
      <c r="A732" s="77"/>
      <c r="B732" s="104"/>
      <c r="C732" s="78"/>
      <c r="D732" s="78"/>
      <c r="E732" s="78"/>
      <c r="F732" s="87"/>
      <c r="G732" s="78"/>
      <c r="J732" s="78"/>
      <c r="K732" s="78"/>
      <c r="P732" s="78"/>
      <c r="Q732" s="78"/>
    </row>
    <row r="733" spans="1:17">
      <c r="A733" s="77"/>
      <c r="B733" s="104"/>
      <c r="C733" s="78"/>
      <c r="D733" s="78"/>
      <c r="E733" s="78"/>
      <c r="F733" s="87"/>
      <c r="G733" s="78"/>
      <c r="J733" s="78"/>
      <c r="K733" s="78"/>
      <c r="P733" s="78"/>
      <c r="Q733" s="78"/>
    </row>
    <row r="734" spans="1:17">
      <c r="A734" s="77"/>
      <c r="B734" s="104"/>
      <c r="C734" s="78"/>
      <c r="D734" s="78"/>
      <c r="E734" s="78"/>
      <c r="F734" s="87"/>
      <c r="G734" s="78"/>
      <c r="J734" s="78"/>
      <c r="K734" s="78"/>
      <c r="P734" s="78"/>
      <c r="Q734" s="78"/>
    </row>
    <row r="735" spans="1:17">
      <c r="A735" s="77"/>
      <c r="B735" s="104"/>
      <c r="C735" s="78"/>
      <c r="D735" s="78"/>
      <c r="E735" s="78"/>
      <c r="F735" s="87"/>
      <c r="G735" s="78"/>
      <c r="J735" s="78"/>
      <c r="K735" s="78"/>
      <c r="P735" s="78"/>
      <c r="Q735" s="78"/>
    </row>
    <row r="736" spans="1:17">
      <c r="A736" s="77"/>
      <c r="B736" s="104"/>
      <c r="C736" s="78"/>
      <c r="D736" s="78"/>
      <c r="E736" s="78"/>
      <c r="F736" s="87"/>
      <c r="G736" s="78"/>
      <c r="J736" s="78"/>
      <c r="K736" s="78"/>
      <c r="P736" s="78"/>
      <c r="Q736" s="78"/>
    </row>
    <row r="737" spans="1:17">
      <c r="A737" s="77"/>
      <c r="B737" s="104"/>
      <c r="C737" s="78"/>
      <c r="D737" s="78"/>
      <c r="E737" s="78"/>
      <c r="F737" s="87"/>
      <c r="G737" s="78"/>
      <c r="J737" s="78"/>
      <c r="K737" s="78"/>
      <c r="P737" s="78"/>
      <c r="Q737" s="78"/>
    </row>
    <row r="738" spans="1:17">
      <c r="A738" s="77"/>
      <c r="B738" s="104"/>
      <c r="C738" s="78"/>
      <c r="D738" s="78"/>
      <c r="E738" s="78"/>
      <c r="F738" s="87"/>
      <c r="G738" s="78"/>
      <c r="J738" s="78"/>
      <c r="K738" s="78"/>
      <c r="P738" s="78"/>
      <c r="Q738" s="78"/>
    </row>
    <row r="739" spans="1:17">
      <c r="A739" s="77"/>
      <c r="B739" s="104"/>
      <c r="C739" s="78"/>
      <c r="D739" s="78"/>
      <c r="E739" s="78"/>
      <c r="F739" s="87"/>
      <c r="G739" s="78"/>
      <c r="J739" s="78"/>
      <c r="K739" s="78"/>
      <c r="P739" s="78"/>
      <c r="Q739" s="78"/>
    </row>
    <row r="740" spans="1:17">
      <c r="A740" s="77"/>
      <c r="B740" s="104"/>
      <c r="C740" s="78"/>
      <c r="D740" s="78"/>
      <c r="E740" s="78"/>
      <c r="F740" s="87"/>
      <c r="G740" s="78"/>
      <c r="J740" s="78"/>
      <c r="K740" s="78"/>
      <c r="P740" s="78"/>
      <c r="Q740" s="78"/>
    </row>
    <row r="741" spans="1:17">
      <c r="A741" s="77"/>
      <c r="B741" s="104"/>
      <c r="C741" s="78"/>
      <c r="D741" s="78"/>
      <c r="E741" s="78"/>
      <c r="F741" s="87"/>
      <c r="G741" s="78"/>
      <c r="J741" s="78"/>
      <c r="K741" s="78"/>
      <c r="P741" s="78"/>
      <c r="Q741" s="78"/>
    </row>
    <row r="742" spans="1:17">
      <c r="A742" s="77"/>
      <c r="B742" s="104"/>
      <c r="C742" s="78"/>
      <c r="D742" s="78"/>
      <c r="E742" s="78"/>
      <c r="F742" s="87"/>
      <c r="G742" s="78"/>
      <c r="J742" s="78"/>
      <c r="K742" s="78"/>
      <c r="P742" s="78"/>
      <c r="Q742" s="78"/>
    </row>
    <row r="743" spans="1:17">
      <c r="A743" s="77"/>
      <c r="B743" s="104"/>
      <c r="C743" s="78"/>
      <c r="D743" s="78"/>
      <c r="E743" s="78"/>
      <c r="F743" s="87"/>
      <c r="G743" s="78"/>
      <c r="J743" s="78"/>
      <c r="K743" s="78"/>
      <c r="P743" s="78"/>
      <c r="Q743" s="78"/>
    </row>
    <row r="744" spans="1:17">
      <c r="A744" s="77"/>
      <c r="B744" s="104"/>
      <c r="C744" s="78"/>
      <c r="D744" s="78"/>
      <c r="E744" s="78"/>
      <c r="F744" s="87"/>
      <c r="G744" s="78"/>
      <c r="J744" s="78"/>
      <c r="K744" s="78"/>
      <c r="P744" s="78"/>
      <c r="Q744" s="78"/>
    </row>
    <row r="745" spans="1:17">
      <c r="A745" s="77"/>
      <c r="B745" s="104"/>
      <c r="C745" s="78"/>
      <c r="D745" s="78"/>
      <c r="E745" s="78"/>
      <c r="F745" s="87"/>
      <c r="G745" s="78"/>
      <c r="J745" s="78"/>
      <c r="K745" s="78"/>
      <c r="P745" s="78"/>
      <c r="Q745" s="78"/>
    </row>
    <row r="746" spans="1:17">
      <c r="A746" s="77"/>
      <c r="B746" s="104"/>
      <c r="C746" s="78"/>
      <c r="D746" s="78"/>
      <c r="E746" s="78"/>
      <c r="F746" s="87"/>
      <c r="G746" s="78"/>
      <c r="J746" s="78"/>
      <c r="K746" s="78"/>
      <c r="P746" s="78"/>
      <c r="Q746" s="78"/>
    </row>
    <row r="747" spans="1:17">
      <c r="A747" s="77"/>
      <c r="B747" s="104"/>
      <c r="C747" s="78"/>
      <c r="D747" s="78"/>
      <c r="E747" s="78"/>
      <c r="F747" s="87"/>
      <c r="G747" s="78"/>
      <c r="J747" s="78"/>
      <c r="K747" s="78"/>
      <c r="P747" s="78"/>
      <c r="Q747" s="78"/>
    </row>
    <row r="748" spans="1:17">
      <c r="A748" s="77"/>
      <c r="B748" s="104"/>
      <c r="C748" s="78"/>
      <c r="D748" s="78"/>
      <c r="E748" s="78"/>
      <c r="F748" s="87"/>
      <c r="G748" s="78"/>
      <c r="J748" s="78"/>
      <c r="K748" s="78"/>
      <c r="P748" s="78"/>
      <c r="Q748" s="78"/>
    </row>
    <row r="749" spans="1:17">
      <c r="A749" s="77"/>
      <c r="B749" s="104"/>
      <c r="C749" s="78"/>
      <c r="D749" s="78"/>
      <c r="E749" s="78"/>
      <c r="F749" s="87"/>
      <c r="G749" s="78"/>
      <c r="J749" s="78"/>
      <c r="K749" s="78"/>
      <c r="P749" s="78"/>
      <c r="Q749" s="78"/>
    </row>
    <row r="750" spans="1:17">
      <c r="A750" s="77"/>
      <c r="B750" s="104"/>
      <c r="C750" s="78"/>
      <c r="D750" s="78"/>
      <c r="E750" s="78"/>
      <c r="F750" s="87"/>
      <c r="G750" s="78"/>
      <c r="J750" s="78"/>
      <c r="K750" s="78"/>
      <c r="P750" s="78"/>
      <c r="Q750" s="78"/>
    </row>
    <row r="751" spans="1:17">
      <c r="A751" s="77"/>
      <c r="B751" s="104"/>
      <c r="C751" s="78"/>
      <c r="D751" s="78"/>
      <c r="E751" s="78"/>
      <c r="F751" s="87"/>
      <c r="G751" s="78"/>
      <c r="J751" s="78"/>
      <c r="K751" s="78"/>
      <c r="P751" s="78"/>
      <c r="Q751" s="78"/>
    </row>
    <row r="752" spans="1:17">
      <c r="A752" s="77"/>
      <c r="B752" s="104"/>
      <c r="C752" s="78"/>
      <c r="D752" s="78"/>
      <c r="E752" s="78"/>
      <c r="F752" s="87"/>
      <c r="G752" s="78"/>
      <c r="J752" s="78"/>
      <c r="K752" s="78"/>
      <c r="P752" s="78"/>
      <c r="Q752" s="78"/>
    </row>
    <row r="753" spans="1:17">
      <c r="A753" s="77"/>
      <c r="B753" s="104"/>
      <c r="C753" s="78"/>
      <c r="D753" s="78"/>
      <c r="E753" s="78"/>
      <c r="F753" s="87"/>
      <c r="G753" s="78"/>
      <c r="J753" s="78"/>
      <c r="K753" s="78"/>
      <c r="P753" s="78"/>
      <c r="Q753" s="78"/>
    </row>
    <row r="754" spans="1:17">
      <c r="A754" s="77"/>
      <c r="B754" s="104"/>
      <c r="C754" s="78"/>
      <c r="D754" s="78"/>
      <c r="E754" s="78"/>
      <c r="F754" s="87"/>
      <c r="G754" s="78"/>
      <c r="J754" s="78"/>
      <c r="K754" s="78"/>
      <c r="P754" s="78"/>
      <c r="Q754" s="78"/>
    </row>
    <row r="755" spans="1:17">
      <c r="A755" s="77"/>
      <c r="B755" s="104"/>
      <c r="C755" s="78"/>
      <c r="D755" s="78"/>
      <c r="E755" s="78"/>
      <c r="F755" s="87"/>
      <c r="G755" s="78"/>
      <c r="J755" s="78"/>
      <c r="K755" s="78"/>
      <c r="P755" s="78"/>
      <c r="Q755" s="78"/>
    </row>
    <row r="756" spans="1:17">
      <c r="A756" s="77"/>
      <c r="B756" s="104"/>
      <c r="C756" s="78"/>
      <c r="D756" s="78"/>
      <c r="E756" s="78"/>
      <c r="F756" s="87"/>
      <c r="G756" s="78"/>
      <c r="J756" s="78"/>
      <c r="K756" s="78"/>
      <c r="P756" s="78"/>
      <c r="Q756" s="78"/>
    </row>
    <row r="757" spans="1:17">
      <c r="A757" s="77"/>
      <c r="B757" s="104"/>
      <c r="C757" s="78"/>
      <c r="D757" s="78"/>
      <c r="E757" s="78"/>
      <c r="F757" s="87"/>
      <c r="G757" s="78"/>
      <c r="J757" s="78"/>
      <c r="K757" s="78"/>
      <c r="P757" s="78"/>
      <c r="Q757" s="78"/>
    </row>
    <row r="758" spans="1:17">
      <c r="A758" s="77"/>
      <c r="B758" s="104"/>
      <c r="C758" s="78"/>
      <c r="D758" s="78"/>
      <c r="E758" s="78"/>
      <c r="F758" s="87"/>
      <c r="G758" s="78"/>
      <c r="J758" s="78"/>
      <c r="K758" s="78"/>
      <c r="P758" s="78"/>
      <c r="Q758" s="78"/>
    </row>
    <row r="759" spans="1:17">
      <c r="A759" s="77"/>
      <c r="B759" s="104"/>
      <c r="C759" s="78"/>
      <c r="D759" s="78"/>
      <c r="E759" s="78"/>
      <c r="F759" s="87"/>
      <c r="G759" s="78"/>
      <c r="J759" s="78"/>
      <c r="K759" s="78"/>
      <c r="P759" s="78"/>
      <c r="Q759" s="78"/>
    </row>
    <row r="760" spans="1:17">
      <c r="A760" s="77"/>
      <c r="B760" s="104"/>
      <c r="C760" s="78"/>
      <c r="D760" s="78"/>
      <c r="E760" s="78"/>
      <c r="F760" s="87"/>
      <c r="G760" s="78"/>
      <c r="J760" s="78"/>
      <c r="K760" s="78"/>
      <c r="P760" s="78"/>
      <c r="Q760" s="78"/>
    </row>
    <row r="761" spans="1:17">
      <c r="A761" s="77"/>
      <c r="B761" s="104"/>
      <c r="C761" s="78"/>
      <c r="D761" s="78"/>
      <c r="E761" s="78"/>
      <c r="F761" s="87"/>
      <c r="G761" s="78"/>
      <c r="J761" s="78"/>
      <c r="K761" s="78"/>
      <c r="P761" s="78"/>
      <c r="Q761" s="78"/>
    </row>
    <row r="762" spans="1:17">
      <c r="A762" s="77"/>
      <c r="B762" s="104"/>
      <c r="C762" s="78"/>
      <c r="D762" s="78"/>
      <c r="E762" s="78"/>
      <c r="F762" s="87"/>
      <c r="G762" s="78"/>
      <c r="J762" s="78"/>
      <c r="K762" s="78"/>
      <c r="P762" s="78"/>
      <c r="Q762" s="78"/>
    </row>
    <row r="763" spans="1:17">
      <c r="A763" s="77"/>
      <c r="B763" s="104"/>
      <c r="C763" s="78"/>
      <c r="D763" s="78"/>
      <c r="E763" s="78"/>
      <c r="F763" s="87"/>
      <c r="G763" s="78"/>
      <c r="J763" s="78"/>
      <c r="K763" s="78"/>
      <c r="P763" s="78"/>
      <c r="Q763" s="78"/>
    </row>
    <row r="764" spans="1:17">
      <c r="A764" s="77"/>
      <c r="B764" s="104"/>
      <c r="C764" s="78"/>
      <c r="D764" s="78"/>
      <c r="E764" s="78"/>
      <c r="F764" s="87"/>
      <c r="G764" s="78"/>
      <c r="J764" s="78"/>
      <c r="K764" s="78"/>
      <c r="P764" s="78"/>
      <c r="Q764" s="78"/>
    </row>
    <row r="765" spans="1:17">
      <c r="A765" s="77"/>
      <c r="B765" s="104"/>
      <c r="C765" s="78"/>
      <c r="D765" s="78"/>
      <c r="E765" s="78"/>
      <c r="F765" s="87"/>
      <c r="G765" s="78"/>
      <c r="J765" s="78"/>
      <c r="K765" s="78"/>
      <c r="P765" s="78"/>
      <c r="Q765" s="78"/>
    </row>
    <row r="766" spans="1:17">
      <c r="A766" s="77"/>
      <c r="B766" s="104"/>
      <c r="C766" s="78"/>
      <c r="D766" s="78"/>
      <c r="E766" s="78"/>
      <c r="F766" s="87"/>
      <c r="G766" s="78"/>
      <c r="J766" s="78"/>
      <c r="K766" s="78"/>
      <c r="P766" s="78"/>
      <c r="Q766" s="78"/>
    </row>
    <row r="767" spans="1:17">
      <c r="A767" s="77"/>
      <c r="B767" s="104"/>
      <c r="C767" s="78"/>
      <c r="D767" s="78"/>
      <c r="E767" s="78"/>
      <c r="F767" s="87"/>
      <c r="G767" s="78"/>
      <c r="J767" s="78"/>
      <c r="K767" s="78"/>
      <c r="P767" s="78"/>
      <c r="Q767" s="78"/>
    </row>
    <row r="768" spans="1:17">
      <c r="A768" s="77"/>
      <c r="B768" s="104"/>
      <c r="C768" s="78"/>
      <c r="D768" s="78"/>
      <c r="E768" s="78"/>
      <c r="F768" s="87"/>
      <c r="G768" s="78"/>
      <c r="J768" s="78"/>
      <c r="K768" s="78"/>
      <c r="P768" s="78"/>
      <c r="Q768" s="78"/>
    </row>
    <row r="769" spans="1:17">
      <c r="A769" s="77"/>
      <c r="B769" s="104"/>
      <c r="C769" s="78"/>
      <c r="D769" s="78"/>
      <c r="E769" s="78"/>
      <c r="F769" s="87"/>
      <c r="G769" s="78"/>
      <c r="J769" s="78"/>
      <c r="K769" s="78"/>
      <c r="P769" s="78"/>
      <c r="Q769" s="78"/>
    </row>
    <row r="770" spans="1:17">
      <c r="A770" s="77"/>
      <c r="B770" s="104"/>
      <c r="C770" s="78"/>
      <c r="D770" s="78"/>
      <c r="E770" s="78"/>
      <c r="F770" s="87"/>
      <c r="G770" s="78"/>
      <c r="J770" s="78"/>
      <c r="K770" s="78"/>
      <c r="P770" s="78"/>
      <c r="Q770" s="78"/>
    </row>
    <row r="771" spans="1:17">
      <c r="A771" s="77"/>
      <c r="B771" s="104"/>
      <c r="C771" s="78"/>
      <c r="D771" s="78"/>
      <c r="E771" s="78"/>
      <c r="F771" s="87"/>
      <c r="G771" s="78"/>
      <c r="J771" s="78"/>
      <c r="K771" s="78"/>
      <c r="P771" s="78"/>
      <c r="Q771" s="78"/>
    </row>
    <row r="772" spans="1:17">
      <c r="A772" s="77"/>
      <c r="B772" s="104"/>
      <c r="C772" s="78"/>
      <c r="D772" s="78"/>
      <c r="E772" s="78"/>
      <c r="F772" s="87"/>
      <c r="G772" s="78"/>
      <c r="J772" s="78"/>
      <c r="K772" s="78"/>
      <c r="P772" s="78"/>
      <c r="Q772" s="78"/>
    </row>
    <row r="773" spans="1:17">
      <c r="A773" s="77"/>
      <c r="B773" s="104"/>
      <c r="C773" s="78"/>
      <c r="D773" s="78"/>
      <c r="E773" s="78"/>
      <c r="F773" s="87"/>
      <c r="G773" s="78"/>
      <c r="J773" s="78"/>
      <c r="K773" s="78"/>
      <c r="P773" s="78"/>
      <c r="Q773" s="78"/>
    </row>
    <row r="774" spans="1:17">
      <c r="A774" s="77"/>
      <c r="B774" s="104"/>
      <c r="C774" s="78"/>
      <c r="D774" s="78"/>
      <c r="E774" s="78"/>
      <c r="F774" s="87"/>
      <c r="G774" s="78"/>
      <c r="J774" s="78"/>
      <c r="K774" s="78"/>
      <c r="P774" s="78"/>
      <c r="Q774" s="78"/>
    </row>
    <row r="775" spans="1:17">
      <c r="A775" s="77"/>
      <c r="B775" s="104"/>
      <c r="C775" s="78"/>
      <c r="D775" s="78"/>
      <c r="E775" s="78"/>
      <c r="F775" s="87"/>
      <c r="G775" s="78"/>
      <c r="J775" s="78"/>
      <c r="K775" s="78"/>
      <c r="P775" s="78"/>
      <c r="Q775" s="78"/>
    </row>
    <row r="776" spans="1:17">
      <c r="A776" s="77"/>
      <c r="B776" s="104"/>
      <c r="C776" s="78"/>
      <c r="D776" s="78"/>
      <c r="E776" s="78"/>
      <c r="F776" s="87"/>
      <c r="G776" s="78"/>
      <c r="J776" s="78"/>
      <c r="K776" s="78"/>
      <c r="P776" s="78"/>
      <c r="Q776" s="78"/>
    </row>
    <row r="777" spans="1:17">
      <c r="A777" s="77"/>
      <c r="B777" s="104"/>
      <c r="C777" s="78"/>
      <c r="D777" s="78"/>
      <c r="E777" s="78"/>
      <c r="F777" s="87"/>
      <c r="G777" s="78"/>
      <c r="J777" s="78"/>
      <c r="K777" s="78"/>
      <c r="P777" s="78"/>
      <c r="Q777" s="78"/>
    </row>
    <row r="778" spans="1:17">
      <c r="A778" s="77"/>
      <c r="B778" s="104"/>
      <c r="C778" s="78"/>
      <c r="D778" s="78"/>
      <c r="E778" s="78"/>
      <c r="F778" s="87"/>
      <c r="G778" s="78"/>
      <c r="J778" s="78"/>
      <c r="K778" s="78"/>
      <c r="P778" s="78"/>
      <c r="Q778" s="78"/>
    </row>
    <row r="779" spans="1:17">
      <c r="A779" s="77"/>
      <c r="B779" s="104"/>
      <c r="C779" s="78"/>
      <c r="D779" s="78"/>
      <c r="E779" s="78"/>
      <c r="F779" s="87"/>
      <c r="G779" s="78"/>
      <c r="J779" s="78"/>
      <c r="K779" s="78"/>
      <c r="P779" s="78"/>
      <c r="Q779" s="78"/>
    </row>
    <row r="780" spans="1:17">
      <c r="A780" s="77"/>
      <c r="B780" s="104"/>
      <c r="C780" s="78"/>
      <c r="D780" s="78"/>
      <c r="E780" s="78"/>
      <c r="F780" s="87"/>
      <c r="G780" s="78"/>
      <c r="J780" s="78"/>
      <c r="K780" s="78"/>
      <c r="P780" s="78"/>
      <c r="Q780" s="78"/>
    </row>
    <row r="781" spans="1:17">
      <c r="A781" s="77"/>
      <c r="B781" s="104"/>
      <c r="C781" s="78"/>
      <c r="D781" s="78"/>
      <c r="E781" s="78"/>
      <c r="F781" s="87"/>
      <c r="G781" s="78"/>
      <c r="J781" s="78"/>
      <c r="K781" s="78"/>
      <c r="P781" s="78"/>
      <c r="Q781" s="78"/>
    </row>
    <row r="782" spans="1:17">
      <c r="A782" s="77"/>
      <c r="B782" s="104"/>
      <c r="C782" s="78"/>
      <c r="D782" s="78"/>
      <c r="E782" s="78"/>
      <c r="F782" s="87"/>
      <c r="G782" s="78"/>
      <c r="J782" s="78"/>
      <c r="K782" s="78"/>
      <c r="P782" s="78"/>
      <c r="Q782" s="78"/>
    </row>
    <row r="783" spans="1:17">
      <c r="A783" s="77"/>
      <c r="B783" s="104"/>
      <c r="C783" s="78"/>
      <c r="D783" s="78"/>
      <c r="E783" s="78"/>
      <c r="F783" s="87"/>
      <c r="G783" s="78"/>
      <c r="J783" s="78"/>
      <c r="K783" s="78"/>
      <c r="P783" s="78"/>
      <c r="Q783" s="78"/>
    </row>
    <row r="784" spans="1:17">
      <c r="A784" s="77"/>
      <c r="B784" s="104"/>
      <c r="C784" s="78"/>
      <c r="D784" s="78"/>
      <c r="E784" s="78"/>
      <c r="F784" s="87"/>
      <c r="G784" s="78"/>
      <c r="J784" s="78"/>
      <c r="K784" s="78"/>
      <c r="P784" s="78"/>
      <c r="Q784" s="78"/>
    </row>
    <row r="785" spans="1:17">
      <c r="A785" s="77"/>
      <c r="B785" s="104"/>
      <c r="C785" s="78"/>
      <c r="D785" s="78"/>
      <c r="E785" s="78"/>
      <c r="F785" s="87"/>
      <c r="G785" s="78"/>
      <c r="J785" s="78"/>
      <c r="K785" s="78"/>
      <c r="P785" s="78"/>
      <c r="Q785" s="78"/>
    </row>
    <row r="786" spans="1:17">
      <c r="A786" s="77"/>
      <c r="B786" s="104"/>
      <c r="C786" s="78"/>
      <c r="D786" s="78"/>
      <c r="E786" s="78"/>
      <c r="F786" s="87"/>
      <c r="G786" s="78"/>
      <c r="J786" s="78"/>
      <c r="K786" s="78"/>
      <c r="P786" s="78"/>
      <c r="Q786" s="78"/>
    </row>
    <row r="787" spans="1:17">
      <c r="A787" s="77"/>
      <c r="B787" s="104"/>
      <c r="C787" s="78"/>
      <c r="D787" s="78"/>
      <c r="E787" s="78"/>
      <c r="F787" s="87"/>
      <c r="G787" s="78"/>
      <c r="J787" s="78"/>
      <c r="K787" s="78"/>
      <c r="P787" s="78"/>
      <c r="Q787" s="78"/>
    </row>
    <row r="788" spans="1:17">
      <c r="A788" s="77"/>
      <c r="B788" s="104"/>
      <c r="C788" s="78"/>
      <c r="D788" s="78"/>
      <c r="E788" s="78"/>
      <c r="F788" s="87"/>
      <c r="G788" s="78"/>
      <c r="J788" s="78"/>
      <c r="K788" s="78"/>
      <c r="P788" s="78"/>
      <c r="Q788" s="78"/>
    </row>
    <row r="789" spans="1:17">
      <c r="A789" s="77"/>
      <c r="B789" s="104"/>
      <c r="C789" s="78"/>
      <c r="D789" s="78"/>
      <c r="E789" s="78"/>
      <c r="F789" s="87"/>
      <c r="G789" s="78"/>
      <c r="J789" s="78"/>
      <c r="K789" s="78"/>
      <c r="P789" s="78"/>
      <c r="Q789" s="78"/>
    </row>
    <row r="790" spans="1:17">
      <c r="A790" s="77"/>
      <c r="B790" s="104"/>
      <c r="C790" s="78"/>
      <c r="D790" s="78"/>
      <c r="E790" s="78"/>
      <c r="F790" s="87"/>
      <c r="G790" s="78"/>
      <c r="J790" s="78"/>
      <c r="K790" s="78"/>
      <c r="P790" s="78"/>
      <c r="Q790" s="78"/>
    </row>
    <row r="791" spans="1:17">
      <c r="A791" s="77"/>
      <c r="B791" s="104"/>
      <c r="C791" s="78"/>
      <c r="D791" s="78"/>
      <c r="E791" s="78"/>
      <c r="F791" s="87"/>
      <c r="G791" s="78"/>
      <c r="J791" s="78"/>
      <c r="K791" s="78"/>
      <c r="P791" s="78"/>
      <c r="Q791" s="78"/>
    </row>
    <row r="792" spans="1:17">
      <c r="A792" s="77"/>
      <c r="B792" s="104"/>
      <c r="C792" s="78"/>
      <c r="D792" s="78"/>
      <c r="E792" s="78"/>
      <c r="F792" s="87"/>
      <c r="G792" s="78"/>
      <c r="J792" s="78"/>
      <c r="K792" s="78"/>
      <c r="P792" s="78"/>
      <c r="Q792" s="78"/>
    </row>
    <row r="793" spans="1:17">
      <c r="A793" s="77"/>
      <c r="B793" s="104"/>
      <c r="C793" s="78"/>
      <c r="D793" s="78"/>
      <c r="E793" s="78"/>
      <c r="F793" s="87"/>
      <c r="G793" s="78"/>
      <c r="J793" s="78"/>
      <c r="K793" s="78"/>
      <c r="P793" s="78"/>
      <c r="Q793" s="78"/>
    </row>
    <row r="794" spans="1:17">
      <c r="A794" s="77"/>
      <c r="B794" s="104"/>
      <c r="C794" s="78"/>
      <c r="D794" s="78"/>
      <c r="E794" s="78"/>
      <c r="F794" s="87"/>
      <c r="G794" s="78"/>
      <c r="J794" s="78"/>
      <c r="K794" s="78"/>
      <c r="P794" s="78"/>
      <c r="Q794" s="78"/>
    </row>
    <row r="795" spans="1:17">
      <c r="A795" s="77"/>
      <c r="B795" s="104"/>
      <c r="C795" s="78"/>
      <c r="D795" s="78"/>
      <c r="E795" s="78"/>
      <c r="F795" s="87"/>
      <c r="G795" s="78"/>
      <c r="J795" s="78"/>
      <c r="K795" s="78"/>
      <c r="P795" s="78"/>
      <c r="Q795" s="78"/>
    </row>
    <row r="796" spans="1:17">
      <c r="A796" s="77"/>
      <c r="B796" s="104"/>
      <c r="C796" s="78"/>
      <c r="D796" s="78"/>
      <c r="E796" s="78"/>
      <c r="F796" s="87"/>
      <c r="G796" s="78"/>
      <c r="J796" s="78"/>
      <c r="K796" s="78"/>
      <c r="P796" s="78"/>
      <c r="Q796" s="78"/>
    </row>
    <row r="797" spans="1:17">
      <c r="A797" s="77"/>
      <c r="B797" s="104"/>
      <c r="C797" s="78"/>
      <c r="D797" s="78"/>
      <c r="E797" s="78"/>
      <c r="F797" s="87"/>
      <c r="G797" s="78"/>
      <c r="J797" s="78"/>
      <c r="K797" s="78"/>
      <c r="P797" s="78"/>
      <c r="Q797" s="78"/>
    </row>
    <row r="798" spans="1:17">
      <c r="A798" s="77"/>
      <c r="B798" s="104"/>
      <c r="C798" s="78"/>
      <c r="D798" s="78"/>
      <c r="E798" s="78"/>
      <c r="F798" s="87"/>
      <c r="G798" s="78"/>
      <c r="J798" s="78"/>
      <c r="K798" s="78"/>
      <c r="P798" s="78"/>
      <c r="Q798" s="78"/>
    </row>
    <row r="799" spans="1:17">
      <c r="A799" s="77"/>
      <c r="B799" s="104"/>
      <c r="C799" s="78"/>
      <c r="D799" s="78"/>
      <c r="E799" s="78"/>
      <c r="F799" s="87"/>
      <c r="G799" s="78"/>
      <c r="J799" s="78"/>
      <c r="K799" s="78"/>
      <c r="P799" s="78"/>
      <c r="Q799" s="78"/>
    </row>
    <row r="800" spans="1:17">
      <c r="A800" s="77"/>
      <c r="B800" s="104"/>
      <c r="C800" s="78"/>
      <c r="D800" s="78"/>
      <c r="E800" s="78"/>
      <c r="F800" s="87"/>
      <c r="G800" s="78"/>
      <c r="J800" s="78"/>
      <c r="K800" s="78"/>
      <c r="P800" s="78"/>
      <c r="Q800" s="78"/>
    </row>
    <row r="801" spans="1:17">
      <c r="A801" s="77"/>
      <c r="B801" s="104"/>
      <c r="C801" s="78"/>
      <c r="D801" s="78"/>
      <c r="E801" s="78"/>
      <c r="F801" s="87"/>
      <c r="G801" s="78"/>
      <c r="J801" s="78"/>
      <c r="K801" s="78"/>
      <c r="P801" s="78"/>
      <c r="Q801" s="78"/>
    </row>
    <row r="802" spans="1:17">
      <c r="A802" s="77"/>
      <c r="B802" s="104"/>
      <c r="C802" s="78"/>
      <c r="D802" s="78"/>
      <c r="E802" s="78"/>
      <c r="F802" s="87"/>
      <c r="G802" s="78"/>
      <c r="J802" s="78"/>
      <c r="K802" s="78"/>
      <c r="P802" s="78"/>
      <c r="Q802" s="78"/>
    </row>
    <row r="803" spans="1:17">
      <c r="A803" s="77"/>
      <c r="B803" s="104"/>
      <c r="C803" s="78"/>
      <c r="D803" s="78"/>
      <c r="E803" s="78"/>
      <c r="F803" s="87"/>
      <c r="G803" s="78"/>
      <c r="J803" s="78"/>
      <c r="K803" s="78"/>
      <c r="P803" s="78"/>
      <c r="Q803" s="78"/>
    </row>
    <row r="804" spans="1:17">
      <c r="A804" s="77"/>
      <c r="B804" s="104"/>
      <c r="C804" s="78"/>
      <c r="D804" s="78"/>
      <c r="E804" s="78"/>
      <c r="F804" s="87"/>
      <c r="G804" s="78"/>
      <c r="J804" s="78"/>
      <c r="K804" s="78"/>
      <c r="P804" s="78"/>
      <c r="Q804" s="78"/>
    </row>
    <row r="805" spans="1:17">
      <c r="A805" s="77"/>
      <c r="B805" s="104"/>
      <c r="C805" s="78"/>
      <c r="D805" s="78"/>
      <c r="E805" s="78"/>
      <c r="F805" s="87"/>
      <c r="G805" s="78"/>
      <c r="J805" s="78"/>
      <c r="K805" s="78"/>
      <c r="P805" s="78"/>
      <c r="Q805" s="78"/>
    </row>
    <row r="806" spans="1:17">
      <c r="A806" s="77"/>
      <c r="B806" s="104"/>
      <c r="C806" s="78"/>
      <c r="D806" s="78"/>
      <c r="E806" s="78"/>
      <c r="F806" s="87"/>
      <c r="G806" s="78"/>
      <c r="J806" s="78"/>
      <c r="K806" s="78"/>
      <c r="P806" s="78"/>
      <c r="Q806" s="78"/>
    </row>
  </sheetData>
  <autoFilter ref="A2:R112" xr:uid="{00000000-0009-0000-0000-00001E000000}"/>
  <mergeCells count="19">
    <mergeCell ref="A313:A316"/>
    <mergeCell ref="A272:A283"/>
    <mergeCell ref="A285:A287"/>
    <mergeCell ref="A289:A298"/>
    <mergeCell ref="A300:A303"/>
    <mergeCell ref="A305:A308"/>
    <mergeCell ref="A310:A311"/>
    <mergeCell ref="A165:A169"/>
    <mergeCell ref="A171:A204"/>
    <mergeCell ref="A206:A213"/>
    <mergeCell ref="A217:A255"/>
    <mergeCell ref="A257:A264"/>
    <mergeCell ref="A266:A270"/>
    <mergeCell ref="T2:U2"/>
    <mergeCell ref="A3:A96"/>
    <mergeCell ref="A103:A106"/>
    <mergeCell ref="A108:A112"/>
    <mergeCell ref="A114:A155"/>
    <mergeCell ref="A156:A163"/>
  </mergeCell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223"/>
  <sheetViews>
    <sheetView tabSelected="1" zoomScale="40" zoomScaleNormal="40" workbookViewId="0">
      <selection activeCell="AB30" sqref="AB30"/>
    </sheetView>
  </sheetViews>
  <sheetFormatPr baseColWidth="10" defaultColWidth="11.54296875" defaultRowHeight="14"/>
  <cols>
    <col min="1" max="1" width="3.26953125" style="222" customWidth="1"/>
    <col min="2" max="2" width="14.7265625" style="222" customWidth="1"/>
    <col min="3" max="4" width="26.7265625" style="214" customWidth="1"/>
    <col min="5" max="5" width="12.7265625" style="214" customWidth="1"/>
    <col min="6" max="6" width="14.7265625" style="214" customWidth="1"/>
    <col min="7" max="7" width="2.7265625" style="214" customWidth="1"/>
    <col min="8" max="8" width="24.7265625" style="214" customWidth="1"/>
    <col min="9" max="9" width="26.7265625" style="214" customWidth="1"/>
    <col min="10" max="10" width="3.54296875" style="214" customWidth="1"/>
    <col min="11" max="11" width="2.26953125" style="213" customWidth="1"/>
    <col min="12" max="39" width="11.54296875" style="213"/>
    <col min="40" max="16384" width="11.54296875" style="214"/>
  </cols>
  <sheetData>
    <row r="1" spans="1:39" s="213" customFormat="1"/>
    <row r="2" spans="1:39" s="215" customFormat="1" ht="14.5" customHeight="1">
      <c r="A2" s="457" t="s">
        <v>855</v>
      </c>
      <c r="B2" s="458"/>
      <c r="C2" s="458"/>
      <c r="D2" s="458"/>
      <c r="E2" s="458"/>
      <c r="F2" s="458"/>
      <c r="G2" s="458"/>
      <c r="H2" s="458"/>
      <c r="I2" s="458"/>
      <c r="J2" s="458"/>
      <c r="K2" s="458"/>
      <c r="L2" s="458"/>
      <c r="M2" s="458"/>
      <c r="N2" s="458"/>
      <c r="O2" s="458"/>
      <c r="P2" s="458"/>
      <c r="Q2" s="458"/>
      <c r="R2" s="458"/>
      <c r="S2" s="458"/>
      <c r="T2" s="458"/>
      <c r="U2" s="458"/>
      <c r="V2" s="458"/>
      <c r="W2" s="458"/>
      <c r="X2" s="458"/>
      <c r="Y2" s="458"/>
      <c r="Z2" s="458"/>
      <c r="AA2" s="213"/>
      <c r="AB2" s="213"/>
      <c r="AC2" s="213"/>
      <c r="AD2" s="213"/>
      <c r="AE2" s="213"/>
      <c r="AF2" s="213"/>
      <c r="AG2" s="213"/>
      <c r="AH2" s="213"/>
      <c r="AI2" s="213"/>
      <c r="AJ2" s="213"/>
      <c r="AK2" s="213"/>
      <c r="AL2" s="213"/>
      <c r="AM2" s="213"/>
    </row>
    <row r="3" spans="1:39" s="215" customFormat="1" ht="14.5" customHeight="1">
      <c r="A3" s="457"/>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213"/>
      <c r="AB3" s="213"/>
      <c r="AC3" s="213"/>
      <c r="AD3" s="213"/>
      <c r="AE3" s="213"/>
      <c r="AF3" s="213"/>
      <c r="AG3" s="213"/>
      <c r="AH3" s="213"/>
      <c r="AI3" s="213"/>
      <c r="AJ3" s="213"/>
      <c r="AK3" s="213"/>
      <c r="AL3" s="213"/>
      <c r="AM3" s="213"/>
    </row>
    <row r="4" spans="1:39" s="215" customFormat="1" ht="14.5" customHeight="1">
      <c r="A4" s="457"/>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213"/>
      <c r="AB4" s="213"/>
      <c r="AC4" s="213"/>
      <c r="AD4" s="213"/>
      <c r="AE4" s="213"/>
      <c r="AF4" s="213"/>
      <c r="AG4" s="213"/>
      <c r="AH4" s="213"/>
      <c r="AI4" s="213"/>
      <c r="AJ4" s="213"/>
      <c r="AK4" s="213"/>
      <c r="AL4" s="213"/>
      <c r="AM4" s="213"/>
    </row>
    <row r="5" spans="1:39" s="219" customFormat="1" ht="13.15" customHeight="1">
      <c r="A5" s="217"/>
      <c r="B5" s="460"/>
      <c r="C5" s="226"/>
      <c r="D5" s="226"/>
      <c r="E5" s="462"/>
      <c r="F5" s="462"/>
      <c r="G5" s="217"/>
      <c r="H5" s="217"/>
      <c r="I5" s="217"/>
      <c r="J5" s="217"/>
      <c r="K5" s="217"/>
      <c r="L5" s="217"/>
      <c r="M5" s="217"/>
      <c r="N5" s="217"/>
      <c r="O5" s="217"/>
      <c r="P5" s="217"/>
      <c r="Q5" s="217"/>
      <c r="R5" s="217"/>
      <c r="S5" s="217"/>
      <c r="T5" s="217"/>
      <c r="U5" s="217"/>
      <c r="V5" s="217"/>
      <c r="W5" s="217"/>
      <c r="X5" s="217"/>
      <c r="Y5" s="217"/>
      <c r="Z5" s="217"/>
      <c r="AA5" s="218"/>
      <c r="AB5" s="218"/>
      <c r="AC5" s="218"/>
      <c r="AD5" s="218"/>
      <c r="AE5" s="218"/>
      <c r="AF5" s="218"/>
      <c r="AG5" s="218"/>
      <c r="AH5" s="218"/>
      <c r="AI5" s="218"/>
      <c r="AJ5" s="218"/>
      <c r="AK5" s="218"/>
      <c r="AL5" s="218"/>
      <c r="AM5" s="218"/>
    </row>
    <row r="6" spans="1:39" s="215" customFormat="1" ht="81" customHeight="1">
      <c r="A6" s="216"/>
      <c r="B6" s="460"/>
      <c r="C6" s="216"/>
      <c r="D6" s="216"/>
      <c r="E6" s="461"/>
      <c r="F6" s="461"/>
      <c r="G6" s="216"/>
      <c r="H6" s="216"/>
      <c r="I6" s="216"/>
      <c r="J6" s="216"/>
      <c r="K6" s="216"/>
      <c r="L6" s="216"/>
      <c r="M6" s="216"/>
      <c r="N6" s="216"/>
      <c r="O6" s="216"/>
      <c r="P6" s="216"/>
      <c r="Q6" s="216"/>
      <c r="R6" s="216"/>
      <c r="S6" s="216"/>
      <c r="T6" s="216"/>
      <c r="U6" s="216"/>
      <c r="V6" s="216"/>
      <c r="W6" s="216"/>
      <c r="X6" s="216"/>
      <c r="Y6" s="216"/>
      <c r="Z6" s="216"/>
      <c r="AA6" s="213"/>
      <c r="AB6" s="213"/>
      <c r="AC6" s="213"/>
      <c r="AD6" s="213"/>
      <c r="AE6" s="213"/>
      <c r="AF6" s="213"/>
      <c r="AG6" s="213"/>
      <c r="AH6" s="213"/>
      <c r="AI6" s="213"/>
      <c r="AJ6" s="213"/>
      <c r="AK6" s="213"/>
      <c r="AL6" s="213"/>
      <c r="AM6" s="213"/>
    </row>
    <row r="7" spans="1:39" s="215" customFormat="1" ht="11.5" customHeight="1">
      <c r="A7" s="216"/>
      <c r="B7" s="220"/>
      <c r="C7" s="216"/>
      <c r="D7" s="216"/>
      <c r="E7" s="216"/>
      <c r="F7" s="216"/>
      <c r="G7" s="216"/>
      <c r="H7" s="216"/>
      <c r="I7" s="216"/>
      <c r="J7" s="216"/>
      <c r="K7" s="216"/>
      <c r="L7" s="216"/>
      <c r="M7" s="216"/>
      <c r="N7" s="216"/>
      <c r="O7" s="216"/>
      <c r="P7" s="216"/>
      <c r="Q7" s="216"/>
      <c r="R7" s="216"/>
      <c r="S7" s="216"/>
      <c r="T7" s="216"/>
      <c r="U7" s="216"/>
      <c r="V7" s="216"/>
      <c r="W7" s="216"/>
      <c r="X7" s="216"/>
      <c r="Y7" s="216"/>
      <c r="Z7" s="216"/>
      <c r="AA7" s="213"/>
      <c r="AB7" s="213"/>
      <c r="AC7" s="213"/>
      <c r="AD7" s="213"/>
      <c r="AE7" s="213"/>
      <c r="AF7" s="213"/>
      <c r="AG7" s="213"/>
      <c r="AH7" s="213"/>
      <c r="AI7" s="213"/>
      <c r="AJ7" s="213"/>
      <c r="AK7" s="213"/>
      <c r="AL7" s="213"/>
      <c r="AM7" s="213"/>
    </row>
    <row r="8" spans="1:39" s="213" customFormat="1">
      <c r="A8" s="216"/>
      <c r="B8" s="220"/>
      <c r="C8" s="216"/>
      <c r="D8" s="216"/>
      <c r="E8" s="216"/>
      <c r="F8" s="216"/>
      <c r="G8" s="216"/>
      <c r="H8" s="216"/>
      <c r="I8" s="216"/>
      <c r="J8" s="216"/>
      <c r="K8" s="216"/>
      <c r="L8" s="216"/>
      <c r="M8" s="216"/>
      <c r="N8" s="216"/>
      <c r="O8" s="216"/>
      <c r="P8" s="216"/>
      <c r="Q8" s="216"/>
      <c r="R8" s="216"/>
      <c r="S8" s="216"/>
      <c r="T8" s="216"/>
      <c r="U8" s="216"/>
      <c r="V8" s="216"/>
      <c r="W8" s="216"/>
      <c r="X8" s="216"/>
      <c r="Y8" s="216"/>
      <c r="Z8" s="216"/>
    </row>
    <row r="9" spans="1:39" s="213" customFormat="1">
      <c r="A9" s="216"/>
      <c r="B9" s="220"/>
      <c r="C9" s="216"/>
      <c r="D9" s="216"/>
      <c r="E9" s="216"/>
      <c r="F9" s="216"/>
      <c r="G9" s="216"/>
      <c r="H9" s="216"/>
      <c r="I9" s="216"/>
      <c r="J9" s="216"/>
      <c r="K9" s="216"/>
      <c r="L9" s="216"/>
      <c r="M9" s="216"/>
      <c r="N9" s="216"/>
      <c r="O9" s="216"/>
      <c r="P9" s="216"/>
      <c r="Q9" s="216"/>
      <c r="R9" s="216"/>
      <c r="S9" s="216"/>
      <c r="T9" s="216"/>
      <c r="U9" s="216"/>
      <c r="V9" s="216"/>
      <c r="W9" s="216"/>
      <c r="X9" s="216"/>
      <c r="Y9" s="216"/>
      <c r="Z9" s="216"/>
    </row>
    <row r="10" spans="1:39" s="213" customFormat="1">
      <c r="A10" s="216"/>
      <c r="B10" s="220"/>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row>
    <row r="11" spans="1:39" s="213" customFormat="1">
      <c r="A11" s="216"/>
      <c r="B11" s="220"/>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row>
    <row r="12" spans="1:39" s="213" customFormat="1">
      <c r="A12" s="216"/>
      <c r="B12" s="220"/>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row>
    <row r="13" spans="1:39" s="213" customFormat="1">
      <c r="A13" s="216"/>
      <c r="B13" s="220"/>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row>
    <row r="14" spans="1:39" s="213" customFormat="1">
      <c r="A14" s="216"/>
      <c r="B14" s="220"/>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row>
    <row r="15" spans="1:39" s="213" customFormat="1">
      <c r="A15" s="216"/>
      <c r="B15" s="220"/>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row>
    <row r="16" spans="1:39" s="213" customFormat="1">
      <c r="A16" s="216"/>
      <c r="B16" s="220"/>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row>
    <row r="17" spans="1:26" s="213" customFormat="1">
      <c r="A17" s="216"/>
      <c r="B17" s="220"/>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row>
    <row r="18" spans="1:26" s="213" customFormat="1">
      <c r="A18" s="216"/>
      <c r="B18" s="220"/>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row>
    <row r="19" spans="1:26" s="213" customFormat="1">
      <c r="A19" s="216"/>
      <c r="B19" s="220"/>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row>
    <row r="20" spans="1:26" s="213" customFormat="1">
      <c r="A20" s="216"/>
      <c r="B20" s="220"/>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row>
    <row r="21" spans="1:26" s="213" customFormat="1">
      <c r="A21" s="216"/>
      <c r="B21" s="220"/>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row>
    <row r="22" spans="1:26" s="213" customFormat="1">
      <c r="A22" s="216"/>
      <c r="B22" s="220"/>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row>
    <row r="23" spans="1:26" s="213" customFormat="1">
      <c r="A23" s="216"/>
      <c r="B23" s="220"/>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row>
    <row r="24" spans="1:26" s="213" customFormat="1">
      <c r="A24" s="216"/>
      <c r="B24" s="220"/>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row>
    <row r="25" spans="1:26" s="213" customFormat="1">
      <c r="A25" s="216"/>
      <c r="B25" s="220"/>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row>
    <row r="26" spans="1:26" s="213" customFormat="1">
      <c r="A26" s="216"/>
      <c r="B26" s="220"/>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row>
    <row r="27" spans="1:26" s="213" customFormat="1">
      <c r="A27" s="216"/>
      <c r="B27" s="220"/>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row>
    <row r="28" spans="1:26" s="213" customFormat="1">
      <c r="A28" s="216"/>
      <c r="B28" s="220"/>
      <c r="C28" s="216"/>
      <c r="D28" s="216"/>
      <c r="E28" s="216"/>
      <c r="F28" s="216"/>
      <c r="G28" s="216"/>
      <c r="H28" s="216"/>
      <c r="I28" s="216"/>
      <c r="J28" s="216"/>
      <c r="K28" s="216"/>
      <c r="L28" s="216"/>
      <c r="M28" s="216"/>
      <c r="N28" s="216"/>
      <c r="O28" s="216"/>
      <c r="P28" s="216"/>
      <c r="Q28" s="216"/>
      <c r="R28" s="216"/>
      <c r="S28" s="216"/>
      <c r="T28" s="216"/>
      <c r="U28" s="216"/>
      <c r="V28" s="216"/>
      <c r="W28" s="216"/>
      <c r="X28" s="216"/>
      <c r="Y28" s="216"/>
      <c r="Z28" s="216"/>
    </row>
    <row r="29" spans="1:26" s="213" customFormat="1">
      <c r="A29" s="216"/>
      <c r="B29" s="220"/>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row>
    <row r="30" spans="1:26" s="213" customFormat="1">
      <c r="A30" s="216"/>
      <c r="B30" s="220"/>
      <c r="C30" s="216"/>
      <c r="D30" s="216"/>
      <c r="E30" s="216"/>
      <c r="F30" s="216"/>
      <c r="G30" s="216"/>
      <c r="H30" s="216"/>
      <c r="I30" s="216"/>
      <c r="J30" s="216"/>
      <c r="K30" s="216"/>
      <c r="L30" s="216"/>
      <c r="M30" s="216"/>
      <c r="N30" s="216"/>
      <c r="O30" s="216"/>
      <c r="P30" s="216"/>
      <c r="Q30" s="216"/>
      <c r="R30" s="216"/>
      <c r="S30" s="216"/>
      <c r="T30" s="216"/>
      <c r="U30" s="216"/>
      <c r="V30" s="216"/>
      <c r="W30" s="216"/>
      <c r="X30" s="216"/>
      <c r="Y30" s="216"/>
      <c r="Z30" s="216"/>
    </row>
    <row r="31" spans="1:26" s="213" customFormat="1">
      <c r="A31" s="216"/>
      <c r="B31" s="220"/>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row>
    <row r="32" spans="1:26" s="213" customFormat="1">
      <c r="A32" s="216"/>
      <c r="B32" s="220"/>
      <c r="C32" s="216"/>
      <c r="D32" s="216"/>
      <c r="E32" s="216"/>
      <c r="F32" s="216"/>
      <c r="G32" s="216"/>
      <c r="H32" s="216"/>
      <c r="I32" s="216"/>
      <c r="J32" s="216"/>
      <c r="K32" s="216"/>
      <c r="L32" s="216"/>
      <c r="M32" s="216"/>
      <c r="N32" s="216"/>
      <c r="O32" s="216"/>
      <c r="P32" s="216"/>
      <c r="Q32" s="216"/>
      <c r="R32" s="216"/>
      <c r="S32" s="216"/>
      <c r="T32" s="216"/>
      <c r="U32" s="216"/>
      <c r="V32" s="216"/>
      <c r="W32" s="216"/>
      <c r="X32" s="216"/>
      <c r="Y32" s="216"/>
      <c r="Z32" s="216"/>
    </row>
    <row r="33" spans="1:26" s="213" customFormat="1">
      <c r="A33" s="216"/>
      <c r="B33" s="220"/>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row>
    <row r="34" spans="1:26" s="213" customFormat="1">
      <c r="A34" s="216"/>
      <c r="B34" s="220"/>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row>
    <row r="35" spans="1:26" s="213" customFormat="1">
      <c r="A35" s="216"/>
      <c r="B35" s="220"/>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row>
    <row r="36" spans="1:26" s="213" customFormat="1">
      <c r="A36" s="216"/>
      <c r="B36" s="220"/>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16"/>
    </row>
    <row r="37" spans="1:26" s="213" customFormat="1">
      <c r="A37" s="216"/>
      <c r="B37" s="220"/>
      <c r="C37" s="216"/>
      <c r="D37" s="216"/>
      <c r="E37" s="216"/>
      <c r="F37" s="216"/>
      <c r="G37" s="216"/>
      <c r="H37" s="216"/>
      <c r="I37" s="216"/>
      <c r="J37" s="216"/>
      <c r="K37" s="216"/>
      <c r="L37" s="216"/>
      <c r="M37" s="216"/>
      <c r="N37" s="216"/>
      <c r="O37" s="216"/>
      <c r="P37" s="216"/>
      <c r="Q37" s="216"/>
      <c r="R37" s="216"/>
      <c r="S37" s="216"/>
      <c r="T37" s="216"/>
      <c r="U37" s="216"/>
      <c r="V37" s="216"/>
      <c r="W37" s="216"/>
      <c r="X37" s="216"/>
      <c r="Y37" s="216"/>
      <c r="Z37" s="216"/>
    </row>
    <row r="38" spans="1:26" s="213" customFormat="1" ht="25">
      <c r="A38" s="216"/>
      <c r="B38" s="216"/>
      <c r="C38" s="459" t="s">
        <v>856</v>
      </c>
      <c r="D38" s="459"/>
      <c r="E38" s="459"/>
      <c r="F38" s="459"/>
      <c r="G38" s="459"/>
      <c r="H38" s="459"/>
      <c r="I38" s="216"/>
      <c r="J38" s="216"/>
      <c r="K38" s="459" t="s">
        <v>857</v>
      </c>
      <c r="L38" s="459"/>
      <c r="M38" s="459"/>
      <c r="N38" s="459"/>
      <c r="O38" s="459"/>
      <c r="P38" s="459"/>
      <c r="Q38" s="459"/>
      <c r="R38" s="459"/>
      <c r="S38" s="459"/>
      <c r="T38" s="459"/>
      <c r="U38" s="216"/>
      <c r="V38" s="216"/>
      <c r="W38" s="216"/>
      <c r="X38" s="216"/>
      <c r="Y38" s="216"/>
      <c r="Z38" s="216"/>
    </row>
    <row r="39" spans="1:26" s="213" customFormat="1">
      <c r="A39" s="216"/>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row>
    <row r="40" spans="1:26" s="213" customFormat="1">
      <c r="A40" s="216"/>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row>
    <row r="41" spans="1:26" s="213" customFormat="1">
      <c r="A41" s="216"/>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row>
    <row r="42" spans="1:26" s="213" customFormat="1">
      <c r="A42" s="216"/>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c r="Z42" s="216"/>
    </row>
    <row r="43" spans="1:26" s="213" customFormat="1"/>
    <row r="44" spans="1:26" s="213" customFormat="1"/>
    <row r="45" spans="1:26" s="213" customFormat="1"/>
    <row r="46" spans="1:26" s="213" customFormat="1"/>
    <row r="47" spans="1:26" s="213" customFormat="1"/>
    <row r="48" spans="1:26" s="213" customFormat="1"/>
    <row r="49" s="213" customFormat="1"/>
    <row r="50" s="213" customFormat="1"/>
    <row r="51" s="213" customFormat="1"/>
    <row r="52" s="213" customFormat="1"/>
    <row r="53" s="213" customFormat="1"/>
    <row r="54" s="213" customFormat="1"/>
    <row r="55" s="213" customFormat="1"/>
    <row r="56" s="213" customFormat="1"/>
    <row r="57" s="213" customFormat="1"/>
    <row r="58" s="213" customFormat="1"/>
    <row r="59" s="213" customFormat="1"/>
    <row r="60" s="213" customFormat="1"/>
    <row r="61" s="213" customFormat="1"/>
    <row r="62" s="213" customFormat="1"/>
    <row r="63" s="213" customFormat="1"/>
    <row r="64" s="213" customFormat="1"/>
    <row r="65" s="213" customFormat="1"/>
    <row r="66" s="213" customFormat="1"/>
    <row r="67" s="213" customFormat="1"/>
    <row r="68" s="213" customFormat="1"/>
    <row r="69" s="213" customFormat="1"/>
    <row r="70" s="213" customFormat="1"/>
    <row r="71" s="213" customFormat="1"/>
    <row r="72" s="213" customFormat="1"/>
    <row r="73" s="213" customFormat="1"/>
    <row r="74" s="213" customFormat="1"/>
    <row r="75" s="213" customFormat="1"/>
    <row r="76" s="213" customFormat="1"/>
    <row r="77" s="213" customFormat="1"/>
    <row r="78" s="213" customFormat="1"/>
    <row r="79" s="213" customFormat="1"/>
    <row r="80" s="213" customFormat="1"/>
    <row r="81" s="213" customFormat="1"/>
    <row r="82" s="213" customFormat="1"/>
    <row r="83" s="213" customFormat="1"/>
    <row r="84" s="213" customFormat="1"/>
    <row r="85" s="213" customFormat="1"/>
    <row r="86" s="213" customFormat="1"/>
    <row r="87" s="213" customFormat="1"/>
    <row r="88" s="213" customFormat="1"/>
    <row r="89" s="213" customFormat="1"/>
    <row r="90" s="213" customFormat="1"/>
    <row r="91" s="213" customFormat="1"/>
    <row r="92" s="213" customFormat="1"/>
    <row r="93" s="213" customFormat="1"/>
    <row r="94" s="213" customFormat="1"/>
    <row r="95" s="213" customFormat="1"/>
    <row r="96" s="213" customFormat="1"/>
    <row r="97" s="213" customFormat="1"/>
    <row r="98" s="213" customFormat="1"/>
    <row r="99" s="213" customFormat="1"/>
    <row r="100" s="213" customFormat="1"/>
    <row r="101" s="213" customFormat="1"/>
    <row r="102" s="213" customFormat="1"/>
    <row r="103" s="213" customFormat="1"/>
    <row r="104" s="213" customFormat="1"/>
    <row r="105" s="213" customFormat="1"/>
    <row r="106" s="213" customFormat="1"/>
    <row r="107" s="213" customFormat="1"/>
    <row r="108" s="213" customFormat="1"/>
    <row r="109" s="213" customFormat="1"/>
    <row r="110" s="213" customFormat="1"/>
    <row r="111" s="213" customFormat="1"/>
    <row r="112" s="213" customFormat="1"/>
    <row r="113" s="213" customFormat="1"/>
    <row r="114" s="213" customFormat="1"/>
    <row r="115" s="213" customFormat="1"/>
    <row r="116" s="213" customFormat="1"/>
    <row r="117" s="213" customFormat="1"/>
    <row r="118" s="213" customFormat="1"/>
    <row r="119" s="213" customFormat="1"/>
    <row r="120" s="213" customFormat="1"/>
    <row r="121" s="213" customFormat="1"/>
    <row r="122" s="213" customFormat="1"/>
    <row r="123" s="213" customFormat="1"/>
    <row r="124" s="213" customFormat="1"/>
    <row r="125" s="213" customFormat="1"/>
    <row r="126" s="213" customFormat="1"/>
    <row r="127" s="213" customFormat="1"/>
    <row r="128" s="213" customFormat="1"/>
    <row r="129" s="213" customFormat="1"/>
    <row r="130" s="213" customFormat="1"/>
    <row r="131" s="213" customFormat="1"/>
    <row r="132" s="213" customFormat="1"/>
    <row r="133" s="213" customFormat="1"/>
    <row r="134" s="213" customFormat="1"/>
    <row r="135" s="213" customFormat="1"/>
    <row r="136" s="213" customFormat="1"/>
    <row r="137" s="213" customFormat="1"/>
    <row r="138" s="213" customFormat="1"/>
    <row r="139" s="213" customFormat="1"/>
    <row r="140" s="213" customFormat="1"/>
    <row r="141" s="213" customFormat="1"/>
    <row r="142" s="213" customFormat="1"/>
    <row r="143" s="213" customFormat="1"/>
    <row r="144" s="213" customFormat="1"/>
    <row r="145" s="213" customFormat="1"/>
    <row r="146" s="213" customFormat="1"/>
    <row r="147" s="213" customFormat="1"/>
    <row r="148" s="213" customFormat="1"/>
    <row r="149" s="213" customFormat="1"/>
    <row r="150" s="213" customFormat="1"/>
    <row r="151" s="213" customFormat="1"/>
    <row r="152" s="213" customFormat="1"/>
    <row r="153" s="213" customFormat="1"/>
    <row r="154" s="213" customFormat="1"/>
    <row r="155" s="213" customFormat="1"/>
    <row r="156" s="213" customFormat="1"/>
    <row r="157" s="213" customFormat="1"/>
    <row r="158" s="213" customFormat="1"/>
    <row r="159" s="213" customFormat="1"/>
    <row r="160" s="213" customFormat="1"/>
    <row r="161" s="213" customFormat="1"/>
    <row r="162" s="213" customFormat="1"/>
    <row r="163" s="213" customFormat="1"/>
    <row r="164" s="213" customFormat="1"/>
    <row r="165" s="213" customFormat="1"/>
    <row r="166" s="213" customFormat="1"/>
    <row r="167" s="213" customFormat="1"/>
    <row r="168" s="213" customFormat="1"/>
    <row r="169" s="213" customFormat="1"/>
    <row r="170" s="213" customFormat="1"/>
    <row r="171" s="213" customFormat="1"/>
    <row r="172" s="213" customFormat="1"/>
    <row r="173" s="213" customFormat="1"/>
    <row r="174" s="213" customFormat="1"/>
    <row r="175" s="213" customFormat="1"/>
    <row r="176" s="213" customFormat="1"/>
    <row r="177" s="213" customFormat="1"/>
    <row r="178" s="213" customFormat="1"/>
    <row r="179" s="213" customFormat="1"/>
    <row r="180" s="213" customFormat="1"/>
    <row r="181" s="213" customFormat="1"/>
    <row r="182" s="213" customFormat="1"/>
    <row r="183" s="213" customFormat="1"/>
    <row r="184" s="213" customFormat="1"/>
    <row r="185" s="213" customFormat="1"/>
    <row r="186" s="213" customFormat="1"/>
    <row r="187" s="213" customFormat="1"/>
    <row r="188" s="213" customFormat="1"/>
    <row r="189" s="213" customFormat="1"/>
    <row r="190" s="213" customFormat="1"/>
    <row r="191" s="213" customFormat="1"/>
    <row r="192" s="213" customFormat="1"/>
    <row r="193" s="213" customFormat="1"/>
    <row r="194" s="213" customFormat="1"/>
    <row r="195" s="213" customFormat="1"/>
    <row r="196" s="213" customFormat="1"/>
    <row r="197" s="213" customFormat="1"/>
    <row r="198" s="213" customFormat="1"/>
    <row r="199" s="213" customFormat="1"/>
    <row r="200" s="213" customFormat="1"/>
    <row r="201" s="213" customFormat="1"/>
    <row r="202" s="213" customFormat="1"/>
    <row r="203" s="213" customFormat="1"/>
    <row r="204" s="213" customFormat="1"/>
    <row r="205" s="213" customFormat="1"/>
    <row r="206" s="213" customFormat="1"/>
    <row r="207" s="213" customFormat="1"/>
    <row r="208" s="213" customFormat="1"/>
    <row r="209" s="213" customFormat="1"/>
    <row r="210" s="213" customFormat="1"/>
    <row r="211" s="213" customFormat="1"/>
    <row r="212" s="213" customFormat="1"/>
    <row r="213" s="213" customFormat="1"/>
    <row r="214" s="221" customFormat="1"/>
    <row r="215" s="221" customFormat="1"/>
    <row r="216" s="221" customFormat="1"/>
    <row r="217" s="221" customFormat="1"/>
    <row r="218" s="221" customFormat="1"/>
    <row r="219" s="221" customFormat="1"/>
    <row r="220" s="221" customFormat="1"/>
    <row r="221" s="221" customFormat="1"/>
    <row r="222" s="221" customFormat="1"/>
    <row r="223" s="221" customFormat="1"/>
  </sheetData>
  <mergeCells count="6">
    <mergeCell ref="A2:Z4"/>
    <mergeCell ref="C38:H38"/>
    <mergeCell ref="K38:T38"/>
    <mergeCell ref="B5:B6"/>
    <mergeCell ref="E6:F6"/>
    <mergeCell ref="E5:F5"/>
  </mergeCells>
  <pageMargins left="0.7" right="0.7" top="0.75" bottom="0.75" header="0.3" footer="0.3"/>
  <pageSetup paperSize="9" scale="14"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pageSetUpPr fitToPage="1"/>
  </sheetPr>
  <dimension ref="A1:BX329"/>
  <sheetViews>
    <sheetView topLeftCell="A3" zoomScale="50" zoomScaleNormal="50" zoomScaleSheetLayoutView="80" workbookViewId="0">
      <selection activeCell="C19" sqref="C19:D19"/>
    </sheetView>
  </sheetViews>
  <sheetFormatPr baseColWidth="10" defaultColWidth="11.54296875" defaultRowHeight="14"/>
  <cols>
    <col min="1" max="1" width="4.453125" style="240" customWidth="1"/>
    <col min="2" max="2" width="31.54296875" style="367" customWidth="1"/>
    <col min="3" max="3" width="11.26953125" style="367" customWidth="1"/>
    <col min="4" max="4" width="46.54296875" style="367" customWidth="1"/>
    <col min="5" max="5" width="10.453125" style="398" customWidth="1"/>
    <col min="6" max="6" width="12.1796875" style="399" customWidth="1"/>
    <col min="7" max="7" width="11.453125" style="399" customWidth="1"/>
    <col min="8" max="8" width="9.81640625" style="367" bestFit="1" customWidth="1"/>
    <col min="9" max="9" width="12.453125" style="367" customWidth="1"/>
    <col min="10" max="10" width="16.26953125" style="367" customWidth="1"/>
    <col min="11" max="11" width="18.26953125" style="400" customWidth="1"/>
    <col min="12" max="12" width="5.54296875" style="240" customWidth="1"/>
    <col min="13" max="13" width="6.7265625" style="245" bestFit="1" customWidth="1"/>
    <col min="14" max="14" width="33.26953125" style="401" hidden="1" customWidth="1"/>
    <col min="15" max="15" width="6.7265625" style="401" hidden="1" customWidth="1"/>
    <col min="16" max="16" width="1.81640625" style="401" hidden="1" customWidth="1"/>
    <col min="17" max="17" width="7.1796875" style="401" hidden="1" customWidth="1"/>
    <col min="18" max="18" width="1.453125" style="401" hidden="1" customWidth="1"/>
    <col min="19" max="19" width="6.1796875" style="401" hidden="1" customWidth="1"/>
    <col min="20" max="20" width="2.1796875" style="401" hidden="1" customWidth="1"/>
    <col min="21" max="21" width="68.453125" style="401" hidden="1" customWidth="1"/>
    <col min="22" max="22" width="5.26953125" style="245" hidden="1" customWidth="1"/>
    <col min="23" max="23" width="4.7265625" style="245" hidden="1" customWidth="1"/>
    <col min="24" max="24" width="6.81640625" style="245" hidden="1" customWidth="1"/>
    <col min="25" max="30" width="11.54296875" style="245" hidden="1" customWidth="1"/>
    <col min="31" max="31" width="11.54296875" style="245" customWidth="1"/>
    <col min="32" max="32" width="25.54296875" style="245" customWidth="1"/>
    <col min="33" max="33" width="35.1796875" style="245" customWidth="1"/>
    <col min="34" max="34" width="32" style="246" customWidth="1"/>
    <col min="35" max="35" width="11.54296875" style="245" customWidth="1"/>
    <col min="36" max="36" width="38" style="245" hidden="1" customWidth="1"/>
    <col min="37" max="16384" width="11.54296875" style="245"/>
  </cols>
  <sheetData>
    <row r="1" spans="1:36" ht="15.5">
      <c r="B1" s="241"/>
      <c r="C1" s="240"/>
      <c r="D1" s="240"/>
      <c r="E1" s="242"/>
      <c r="F1" s="243"/>
      <c r="G1" s="243"/>
      <c r="H1" s="240"/>
      <c r="I1" s="240"/>
      <c r="J1" s="240"/>
      <c r="K1" s="244"/>
      <c r="M1" s="466" t="s">
        <v>184</v>
      </c>
      <c r="N1" s="245"/>
      <c r="O1" s="245"/>
      <c r="P1" s="245"/>
      <c r="Q1" s="245"/>
      <c r="R1" s="245"/>
      <c r="S1" s="245"/>
      <c r="T1" s="245"/>
      <c r="U1" s="245"/>
    </row>
    <row r="2" spans="1:36" ht="12.5">
      <c r="B2" s="240"/>
      <c r="C2" s="240"/>
      <c r="D2" s="240"/>
      <c r="E2" s="242"/>
      <c r="F2" s="243"/>
      <c r="G2" s="243"/>
      <c r="H2" s="240"/>
      <c r="I2" s="240"/>
      <c r="J2" s="240"/>
      <c r="K2" s="244"/>
      <c r="M2" s="466"/>
      <c r="N2" s="245"/>
      <c r="O2" s="245"/>
      <c r="P2" s="245"/>
      <c r="Q2" s="245"/>
      <c r="R2" s="245"/>
      <c r="S2" s="245"/>
      <c r="T2" s="245"/>
      <c r="U2" s="245"/>
    </row>
    <row r="3" spans="1:36">
      <c r="B3" s="247" t="s">
        <v>117</v>
      </c>
      <c r="C3" s="467">
        <f ca="1">TODAY()</f>
        <v>45701</v>
      </c>
      <c r="D3" s="467"/>
      <c r="E3" s="248"/>
      <c r="F3" s="249"/>
      <c r="G3" s="249"/>
      <c r="H3" s="248"/>
      <c r="I3" s="248"/>
      <c r="J3" s="248"/>
      <c r="K3" s="244"/>
      <c r="N3" s="250"/>
      <c r="O3" s="250"/>
      <c r="P3" s="250"/>
      <c r="Q3" s="250"/>
      <c r="R3" s="250"/>
      <c r="S3" s="250"/>
      <c r="T3" s="250"/>
      <c r="U3" s="251"/>
    </row>
    <row r="4" spans="1:36">
      <c r="B4" s="247" t="s">
        <v>118</v>
      </c>
      <c r="C4" s="468"/>
      <c r="D4" s="468"/>
      <c r="E4" s="248"/>
      <c r="F4" s="249"/>
      <c r="G4" s="249"/>
      <c r="H4" s="248"/>
      <c r="I4" s="248"/>
      <c r="J4" s="248"/>
      <c r="K4" s="244"/>
      <c r="N4" s="252" t="s">
        <v>206</v>
      </c>
      <c r="O4" s="250"/>
      <c r="P4" s="250"/>
      <c r="Q4" s="250"/>
      <c r="R4" s="250"/>
      <c r="S4" s="250"/>
      <c r="T4" s="250"/>
      <c r="U4" s="250"/>
    </row>
    <row r="5" spans="1:36" ht="15.5">
      <c r="B5" s="247" t="s">
        <v>119</v>
      </c>
      <c r="C5" s="468"/>
      <c r="D5" s="468"/>
      <c r="E5" s="248"/>
      <c r="F5" s="249"/>
      <c r="G5" s="249"/>
      <c r="H5" s="248"/>
      <c r="I5" s="248"/>
      <c r="J5" s="248"/>
      <c r="K5" s="244"/>
      <c r="N5" s="253" t="s">
        <v>147</v>
      </c>
      <c r="O5" s="250"/>
      <c r="P5" s="250"/>
      <c r="Q5" s="250"/>
      <c r="R5" s="250"/>
      <c r="S5" s="250"/>
      <c r="T5" s="250"/>
      <c r="U5" s="250"/>
    </row>
    <row r="6" spans="1:36">
      <c r="B6" s="254" t="s">
        <v>120</v>
      </c>
      <c r="C6" s="469"/>
      <c r="D6" s="469"/>
      <c r="E6" s="469"/>
      <c r="F6" s="469"/>
      <c r="G6" s="255"/>
      <c r="H6" s="256"/>
      <c r="I6" s="256"/>
      <c r="J6" s="256"/>
      <c r="K6" s="244"/>
      <c r="N6" s="250"/>
      <c r="O6" s="250"/>
      <c r="P6" s="250"/>
      <c r="Q6" s="250"/>
      <c r="R6" s="250"/>
      <c r="S6" s="250"/>
      <c r="T6" s="250"/>
      <c r="U6" s="487" t="e">
        <f>CONCATENATE(SUBSTITUTE(VLOOKUP(N5,SIS!A2:F8,2,),"[variante]",VLOOKUP(N21,REV!A2:C16,2,)),SIS!D2)</f>
        <v>#N/A</v>
      </c>
    </row>
    <row r="7" spans="1:36">
      <c r="B7" s="257"/>
      <c r="C7" s="255"/>
      <c r="D7" s="255"/>
      <c r="E7" s="255"/>
      <c r="F7" s="255"/>
      <c r="G7" s="255"/>
      <c r="H7" s="256"/>
      <c r="I7" s="256"/>
      <c r="J7" s="256"/>
      <c r="K7" s="244"/>
      <c r="N7" s="250"/>
      <c r="O7" s="250"/>
      <c r="P7" s="250"/>
      <c r="Q7" s="250"/>
      <c r="R7" s="250"/>
      <c r="S7" s="250"/>
      <c r="T7" s="250"/>
      <c r="U7" s="487"/>
    </row>
    <row r="8" spans="1:36">
      <c r="B8" s="258"/>
      <c r="C8" s="256"/>
      <c r="D8" s="256"/>
      <c r="E8" s="256"/>
      <c r="F8" s="259"/>
      <c r="G8" s="259"/>
      <c r="H8" s="256"/>
      <c r="I8" s="240"/>
      <c r="J8" s="240"/>
      <c r="K8" s="244"/>
      <c r="N8" s="250"/>
      <c r="O8" s="250"/>
      <c r="P8" s="250"/>
      <c r="Q8" s="250"/>
      <c r="R8" s="250"/>
      <c r="S8" s="250"/>
      <c r="T8" s="250"/>
      <c r="U8" s="487"/>
    </row>
    <row r="9" spans="1:36" ht="42" customHeight="1">
      <c r="B9" s="488" t="s">
        <v>861</v>
      </c>
      <c r="C9" s="489"/>
      <c r="D9" s="489"/>
      <c r="E9" s="489"/>
      <c r="F9" s="489"/>
      <c r="G9" s="489"/>
      <c r="H9" s="489"/>
      <c r="I9" s="489"/>
      <c r="J9" s="489"/>
      <c r="K9" s="489"/>
      <c r="N9" s="252" t="s">
        <v>207</v>
      </c>
      <c r="O9" s="250"/>
      <c r="P9" s="250"/>
      <c r="Q9" s="260" t="s">
        <v>208</v>
      </c>
      <c r="R9" s="250"/>
      <c r="S9" s="250"/>
      <c r="T9" s="250"/>
      <c r="U9" s="487"/>
      <c r="AF9" s="492" t="s">
        <v>869</v>
      </c>
      <c r="AG9" s="492"/>
      <c r="AH9" s="492"/>
    </row>
    <row r="10" spans="1:36" ht="15.5">
      <c r="B10" s="261"/>
      <c r="C10" s="261"/>
      <c r="D10" s="261"/>
      <c r="E10" s="261"/>
      <c r="F10" s="261"/>
      <c r="G10" s="261"/>
      <c r="H10" s="261"/>
      <c r="I10" s="261"/>
      <c r="J10" s="261"/>
      <c r="K10" s="262"/>
      <c r="N10" s="252"/>
      <c r="O10" s="250"/>
      <c r="P10" s="250"/>
      <c r="Q10" s="260"/>
      <c r="R10" s="250"/>
      <c r="S10" s="250"/>
      <c r="T10" s="250"/>
      <c r="U10" s="263"/>
      <c r="AF10" s="264"/>
      <c r="AG10" s="265" t="s">
        <v>867</v>
      </c>
      <c r="AH10" s="265" t="s">
        <v>868</v>
      </c>
      <c r="AJ10" s="240" t="s">
        <v>865</v>
      </c>
    </row>
    <row r="11" spans="1:36" ht="15.5">
      <c r="B11" s="266"/>
      <c r="C11" s="261"/>
      <c r="D11" s="261"/>
      <c r="E11" s="261"/>
      <c r="F11" s="261"/>
      <c r="G11" s="261"/>
      <c r="H11" s="261"/>
      <c r="I11" s="261"/>
      <c r="J11" s="261"/>
      <c r="K11" s="262"/>
      <c r="N11" s="252"/>
      <c r="O11" s="250"/>
      <c r="P11" s="250"/>
      <c r="Q11" s="260"/>
      <c r="R11" s="250"/>
      <c r="S11" s="250"/>
      <c r="T11" s="250"/>
      <c r="U11" s="263"/>
      <c r="AF11" s="267" t="s">
        <v>862</v>
      </c>
      <c r="AG11" s="242">
        <v>80</v>
      </c>
      <c r="AH11" s="242">
        <v>80</v>
      </c>
      <c r="AJ11" s="240" t="str">
        <f>_xlfn.CONCAT(AG12,"",AG11,)</f>
        <v>webertherm espiga H380</v>
      </c>
    </row>
    <row r="12" spans="1:36" ht="18" customHeight="1">
      <c r="B12" s="268"/>
      <c r="C12" s="255"/>
      <c r="D12" s="255"/>
      <c r="E12" s="255"/>
      <c r="F12" s="259"/>
      <c r="G12" s="259"/>
      <c r="H12" s="256"/>
      <c r="I12" s="240"/>
      <c r="J12" s="240"/>
      <c r="K12" s="244"/>
      <c r="N12" s="252"/>
      <c r="O12" s="250"/>
      <c r="P12" s="250"/>
      <c r="Q12" s="260"/>
      <c r="R12" s="250"/>
      <c r="S12" s="250"/>
      <c r="T12" s="250"/>
      <c r="U12" s="263"/>
      <c r="AF12" s="267" t="s">
        <v>863</v>
      </c>
      <c r="AG12" s="242" t="s">
        <v>237</v>
      </c>
      <c r="AH12" s="242" t="s">
        <v>237</v>
      </c>
    </row>
    <row r="13" spans="1:36" s="271" customFormat="1" ht="15.5">
      <c r="A13" s="258"/>
      <c r="B13" s="269" t="s">
        <v>340</v>
      </c>
      <c r="C13" s="258"/>
      <c r="D13" s="258"/>
      <c r="E13" s="270"/>
      <c r="F13" s="270"/>
      <c r="G13" s="270"/>
      <c r="H13" s="256"/>
      <c r="I13" s="240"/>
      <c r="J13" s="240"/>
      <c r="K13" s="244"/>
      <c r="L13" s="258"/>
      <c r="N13" s="272" t="str">
        <f>VLOOKUP(C17,'Lista - memorias'!$B$1:$D$241,2,)</f>
        <v>webertherm placa EPS</v>
      </c>
      <c r="O13" s="273" t="e">
        <f>IF(OR(N13="webertherm aislone",N21="webertherm clima"),"aislone",IF(N13="webertherm placa clima 34","lana",IF(N13="webertherm placa DUO","lana",IF(N13="webertherm placa MD","lana","sintética"))))</f>
        <v>#N/A</v>
      </c>
      <c r="P13" s="250"/>
      <c r="Q13" s="274">
        <f>VLOOKUP(C17,'Lista - memorias'!$B$1:$D$241,3,)</f>
        <v>80</v>
      </c>
      <c r="R13" s="250"/>
      <c r="S13" s="250"/>
      <c r="T13" s="250"/>
      <c r="U13" s="487" t="str">
        <f>SUBSTITUTE(VLOOKUP(N13,AIS!$A$2:$C$11,3,),"en el espesor establecido por la dirección facultativa",CONCATENATE("de ",Q13," mm de espesor"))</f>
        <v xml:space="preserve">suministro de las placas aislantes de poliestireno expandido (EPS) estabilizadas, webertherm PLACA EPS, con código de designación según la norma EPS-EN 13163: L2 - W2 - T2 - S2 - P5 - DS(70,-)1, DS(70,90)1 - DS(N)2 - MU60 - TR150 - CS(10)60 – BS150 – WL(T)5, Euroclase E de reacción al fuego y conductividad térmica 0,037 W/m·K, de 80 mm de espesor. Las placas deben ser colocadas en posición horizontal en filas sucesivas, de abajo a arriba, a rompe-juntas en relación con la hilera anterior, </v>
      </c>
      <c r="AF13" s="267" t="s">
        <v>871</v>
      </c>
      <c r="AG13" s="275" t="str">
        <f>VLOOKUP(AJ11,'calculo espigas'!C34:F58,3,)</f>
        <v>webertherm espiga H3 115</v>
      </c>
      <c r="AH13" s="275" t="str">
        <f>VLOOKUP(AJ14,'calculo espigas'!G34:I58,3,)</f>
        <v>webertherm espiga H3 135</v>
      </c>
      <c r="AJ13" s="240" t="s">
        <v>916</v>
      </c>
    </row>
    <row r="14" spans="1:36" ht="40.5" customHeight="1">
      <c r="B14" s="276"/>
      <c r="C14" s="240"/>
      <c r="D14" s="240"/>
      <c r="E14" s="242"/>
      <c r="F14" s="243"/>
      <c r="G14" s="243"/>
      <c r="H14" s="240"/>
      <c r="I14" s="240"/>
      <c r="J14" s="240"/>
      <c r="K14" s="244"/>
      <c r="N14" s="252" t="s">
        <v>210</v>
      </c>
      <c r="O14" s="250"/>
      <c r="P14" s="250"/>
      <c r="Q14" s="250"/>
      <c r="R14" s="250"/>
      <c r="S14" s="250"/>
      <c r="T14" s="250"/>
      <c r="U14" s="487"/>
      <c r="W14" s="277" t="s">
        <v>293</v>
      </c>
      <c r="X14" s="278" t="s">
        <v>361</v>
      </c>
      <c r="Y14" s="279"/>
      <c r="Z14" s="279"/>
      <c r="AA14" s="279"/>
      <c r="AB14" s="279"/>
      <c r="AC14" s="279"/>
      <c r="AD14" s="279"/>
      <c r="AE14" s="279"/>
      <c r="AF14" s="279"/>
      <c r="AJ14" s="240" t="str">
        <f>_xlfn.CONCAT(AH12,"",AH11,)</f>
        <v>webertherm espiga H380</v>
      </c>
    </row>
    <row r="15" spans="1:36" s="284" customFormat="1" ht="39" customHeight="1">
      <c r="A15" s="280"/>
      <c r="B15" s="281" t="s">
        <v>2</v>
      </c>
      <c r="C15" s="470" t="s">
        <v>1</v>
      </c>
      <c r="D15" s="471"/>
      <c r="E15" s="281" t="s">
        <v>404</v>
      </c>
      <c r="F15" s="281" t="s">
        <v>299</v>
      </c>
      <c r="G15" s="281" t="s">
        <v>293</v>
      </c>
      <c r="H15" s="281" t="s">
        <v>161</v>
      </c>
      <c r="I15" s="282" t="s">
        <v>301</v>
      </c>
      <c r="J15" s="283" t="s">
        <v>364</v>
      </c>
      <c r="K15" s="281" t="s">
        <v>165</v>
      </c>
      <c r="L15" s="280"/>
      <c r="N15" s="285" t="str">
        <f>VLOOKUP(C16,'Lista - memorias'!$B$1:$D$241,2,)</f>
        <v>webertherm baseGEL</v>
      </c>
      <c r="O15" s="250"/>
      <c r="P15" s="250"/>
      <c r="Q15" s="250"/>
      <c r="R15" s="250"/>
      <c r="S15" s="250"/>
      <c r="T15" s="250"/>
      <c r="U15" s="487" t="str">
        <f>VLOOKUP(N15,ADH!$A$3:$B$6,2,)</f>
        <v xml:space="preserve">y serán adheridas mediante el mortero monocomponente para la adhesión y regularización de paneles de aislamiento térmico, webertherm BASEGEL, compuesto a base de cemento gris, cargas minerales, resinas redispersables en polvo, fibra de vidrio de alta dispersión y aditivos especiales; y con las siguientes características técnicas: adherencia sobre ladrillo cerámico ≥ 0,3 MPa, adherencia sobre webertherm AISLONE y sobre webertherm PLACA EPS ≥ 0,08 MPa (CFS), absorción agua por capilaridad ≤ 0,2 kg/m² ·min0,5 (Clase W2), μ ≤ 10, resistencia a flexión ≥ 2 MPa, resistencia a compresión ≥ 6,0 MPa (CSIV), reacción al fuego Euroclase A1 y conductividad térmica 0,44 W/m·K. La aplicación del mortero como adhesivo se realizará directamente en el reverso de la placa mediante cordón perimetral y pegotes centrales asegurando una superficie de adhesión mínima del 40%, o bien mediante doble encolado con llana dentada de 10 x 10 mm, en caso de aplicación posterior sobre el soporte plano (irregularidades inferiores a 10 mm bajo un regle de 2 m), con un espesor total de 1 cm. </v>
      </c>
      <c r="W15" s="277" t="s">
        <v>366</v>
      </c>
      <c r="X15" s="286" t="s">
        <v>362</v>
      </c>
      <c r="Y15" s="286"/>
      <c r="Z15" s="286"/>
      <c r="AA15" s="286"/>
      <c r="AB15" s="286"/>
      <c r="AC15" s="286"/>
      <c r="AD15" s="286"/>
      <c r="AE15" s="286"/>
      <c r="AF15" s="286"/>
    </row>
    <row r="16" spans="1:36">
      <c r="B16" s="287" t="s">
        <v>3</v>
      </c>
      <c r="C16" s="465" t="s">
        <v>513</v>
      </c>
      <c r="D16" s="465"/>
      <c r="E16" s="227" t="str">
        <f>VLOOKUP(C16,'Listas-2'!$B$12:$K$468,6,)</f>
        <v>kg</v>
      </c>
      <c r="F16" s="228">
        <f>VLOOKUP(C16,'Listas-2'!$B$12:$K$468,3,)</f>
        <v>5</v>
      </c>
      <c r="G16" s="239">
        <f>IF($G$15="PVP saco palet (€/saco)",VLOOKUP(C16,'Listas-2'!$B$12:$K$468,10,),VLOOKUP(C16,'Listas-2'!$B$12:$K$468,9,))</f>
        <v>27.98</v>
      </c>
      <c r="H16" s="239">
        <f>G16/VLOOKUP(C16,'Listas-2'!$B$12:$K$468,5,)</f>
        <v>1.1192</v>
      </c>
      <c r="I16" s="289"/>
      <c r="J16" s="239">
        <f t="shared" ref="J16:J22" si="0">(H16-(I16*H16))</f>
        <v>1.1192</v>
      </c>
      <c r="K16" s="290">
        <f t="shared" ref="K16:K22" si="1">F16*J16</f>
        <v>5.5960000000000001</v>
      </c>
      <c r="N16" s="252" t="s">
        <v>211</v>
      </c>
      <c r="O16" s="250"/>
      <c r="P16" s="250"/>
      <c r="Q16" s="250"/>
      <c r="R16" s="250"/>
      <c r="S16" s="250"/>
      <c r="T16" s="250"/>
      <c r="U16" s="487"/>
    </row>
    <row r="17" spans="1:76" ht="15.5">
      <c r="B17" s="287" t="s">
        <v>6</v>
      </c>
      <c r="C17" s="465" t="s">
        <v>548</v>
      </c>
      <c r="D17" s="465"/>
      <c r="E17" s="227" t="str">
        <f>VLOOKUP(C17,'Listas-2'!$B$12:$K$468,6,)</f>
        <v>m²</v>
      </c>
      <c r="F17" s="228">
        <f>VLOOKUP(C17,'Listas-2'!$B$12:$K$468,3,)</f>
        <v>1</v>
      </c>
      <c r="G17" s="239" t="str">
        <f>IF($G$15="PVP saco palet (€/saco)",VLOOKUP(C17,'Listas-2'!$B$12:$K$468,10,),VLOOKUP(C17,'Listas-2'!$B$12:$K$468,9,))</f>
        <v>-</v>
      </c>
      <c r="H17" s="239">
        <f>VLOOKUP(C17,'Listas-2'!$B$12:$K$468,2,)</f>
        <v>19.29</v>
      </c>
      <c r="I17" s="289"/>
      <c r="J17" s="239">
        <f t="shared" si="0"/>
        <v>19.29</v>
      </c>
      <c r="K17" s="290">
        <f t="shared" si="1"/>
        <v>19.29</v>
      </c>
      <c r="N17" s="291" t="str">
        <f>VLOOKUP(C18,'Lista - memorias'!$B$1:$C$241,2,)</f>
        <v>webertherm espiga H3</v>
      </c>
      <c r="O17" s="273" t="str">
        <f>MID(N17,19,8)</f>
        <v>H3</v>
      </c>
      <c r="P17" s="250"/>
      <c r="Q17" s="250"/>
      <c r="R17" s="250"/>
      <c r="S17" s="273" t="str">
        <f>CONCATENATE("webertherm espiga ",O17,"-","placa")</f>
        <v>webertherm espiga H3-placa</v>
      </c>
      <c r="T17" s="250"/>
      <c r="U17" s="487" t="e">
        <f>CONCATENATE(VLOOKUP(S17,FIJ_1!$A$2:$D$10,4,),VLOOKUP(O13,FIJ_1!$C$14:$D$15,2,))</f>
        <v>#N/A</v>
      </c>
    </row>
    <row r="18" spans="1:76">
      <c r="B18" s="287" t="s">
        <v>7</v>
      </c>
      <c r="C18" s="472" t="s">
        <v>637</v>
      </c>
      <c r="D18" s="472"/>
      <c r="E18" s="227" t="str">
        <f>VLOOKUP(C18,'Listas-2'!$B$12:$K$468,6,)</f>
        <v>ud</v>
      </c>
      <c r="F18" s="228">
        <f>VLOOKUP(C18,'Listas-2'!$B$12:$K$468,3,)</f>
        <v>6</v>
      </c>
      <c r="G18" s="239">
        <f>IF($G$15="PVP saco palet (€/saco)",VLOOKUP(C18,'Listas-2'!$B$12:$K$468,10,),VLOOKUP(C18,'Listas-2'!$B$12:$K$468,9,))</f>
        <v>97.74</v>
      </c>
      <c r="H18" s="239">
        <f>G18/VLOOKUP(C18,'Listas-2'!$B$12:$K$468,5,)</f>
        <v>0.48869999999999997</v>
      </c>
      <c r="I18" s="289"/>
      <c r="J18" s="239">
        <f t="shared" si="0"/>
        <v>0.48869999999999997</v>
      </c>
      <c r="K18" s="290">
        <f t="shared" si="1"/>
        <v>2.9321999999999999</v>
      </c>
      <c r="N18" s="252" t="s">
        <v>213</v>
      </c>
      <c r="O18" s="250"/>
      <c r="P18" s="250"/>
      <c r="Q18" s="250"/>
      <c r="R18" s="250"/>
      <c r="S18" s="273"/>
      <c r="T18" s="250"/>
      <c r="U18" s="487"/>
    </row>
    <row r="19" spans="1:76" ht="15.5">
      <c r="B19" s="473" t="s">
        <v>9</v>
      </c>
      <c r="C19" s="465" t="s">
        <v>513</v>
      </c>
      <c r="D19" s="465"/>
      <c r="E19" s="227" t="str">
        <f>VLOOKUP(C19,'Listas-2'!$B$12:$K$468,6,)</f>
        <v>kg</v>
      </c>
      <c r="F19" s="228">
        <f>VLOOKUP(C19,'Listas-2'!$B$12:$K$468,4,)</f>
        <v>5</v>
      </c>
      <c r="G19" s="239">
        <f>IF($G$15="PVP saco palet (€/saco)",VLOOKUP(C19,'Listas-2'!$B$12:$K$468,10,),VLOOKUP(C19,'Listas-2'!$B$12:$K$468,9,))</f>
        <v>27.98</v>
      </c>
      <c r="H19" s="239">
        <f>G19/VLOOKUP(C19,'Listas-2'!$B$12:$K$468,5,)</f>
        <v>1.1192</v>
      </c>
      <c r="I19" s="289"/>
      <c r="J19" s="239">
        <f t="shared" si="0"/>
        <v>1.1192</v>
      </c>
      <c r="K19" s="290">
        <f t="shared" si="1"/>
        <v>5.5960000000000001</v>
      </c>
      <c r="N19" s="291" t="str">
        <f>VLOOKUP(C19,'Lista - memorias'!$B$1:$C$241,2,)</f>
        <v>webertherm baseGEL</v>
      </c>
      <c r="O19" s="273"/>
      <c r="P19" s="250"/>
      <c r="Q19" s="250"/>
      <c r="R19" s="250"/>
      <c r="S19" s="273"/>
      <c r="T19" s="250"/>
      <c r="U19" s="487" t="str">
        <f>CONCATENATE(VLOOKUP(N19,REF!$A$2:$B$4,2,),HLOOKUP($C$20,REF!$B$5:$D$6,2,))</f>
        <v xml:space="preserve">Posteriormente se realizará el revestimiento de las placas aislantes con webertherm BASEGEL, aplicado en un espesor de 2-3 mm por mano, en dos manos y armado con malla de fibra de vidrio alcalino-resistente webertherm MALLA 160, con apertura del entramado 3,5 x 3,8 mm, 160 g/m², espesor 0,52 mm, valor nominal de resistencia a tracción en condiciones estándar de 2200 / 2200 y resistencia a elongación 3,8 / 3,8, embebida en la mitad del espesor; se aplicará una primera mano de mortero regularizador sobre la que se colocará, en fresco, la malla de refuerzo. Pasadas 24h y ya seca la primera mano, se aplicará una segunda mano de mortero regularizador cubriendo la malla en su totalidad y dejando una superficie lisa y apta para recibir el acabado. </v>
      </c>
    </row>
    <row r="20" spans="1:76">
      <c r="B20" s="473"/>
      <c r="C20" s="465" t="s">
        <v>643</v>
      </c>
      <c r="D20" s="465"/>
      <c r="E20" s="227" t="str">
        <f>VLOOKUP(C20,'Listas-2'!$B$12:$K$468,6,)</f>
        <v>m²</v>
      </c>
      <c r="F20" s="228">
        <f>VLOOKUP(C20,'Listas-2'!$B$12:$K$468,3,)</f>
        <v>1.1000000000000001</v>
      </c>
      <c r="G20" s="239">
        <f>IF($G$15="PVP saco palet (€/saco)",VLOOKUP(C20,'Listas-2'!$B$12:$K$468,10,),VLOOKUP(C20,'Listas-2'!$B$12:$K$468,9,))</f>
        <v>133.94</v>
      </c>
      <c r="H20" s="239">
        <f>G20/VLOOKUP(C20,'Listas-2'!$B$12:$K$468,5,)</f>
        <v>2.4352727272727273</v>
      </c>
      <c r="I20" s="289"/>
      <c r="J20" s="239">
        <f t="shared" si="0"/>
        <v>2.4352727272727273</v>
      </c>
      <c r="K20" s="290">
        <f t="shared" si="1"/>
        <v>2.6788000000000003</v>
      </c>
      <c r="N20" s="252" t="s">
        <v>214</v>
      </c>
      <c r="O20" s="250"/>
      <c r="P20" s="250"/>
      <c r="Q20" s="250"/>
      <c r="R20" s="250"/>
      <c r="S20" s="273"/>
      <c r="T20" s="250"/>
      <c r="U20" s="487"/>
    </row>
    <row r="21" spans="1:76" ht="15.5">
      <c r="B21" s="473" t="s">
        <v>11</v>
      </c>
      <c r="C21" s="465" t="s">
        <v>1007</v>
      </c>
      <c r="D21" s="474"/>
      <c r="E21" s="227" t="str">
        <f>VLOOKUP(C21,'Listas-2'!$B$12:$K$468,6,)</f>
        <v>l</v>
      </c>
      <c r="F21" s="228">
        <f>VLOOKUP(C21,'Listas-2'!$B$12:$K$468,3,)</f>
        <v>0.17</v>
      </c>
      <c r="G21" s="239">
        <f>IF($G$15="PVP saco palet (€/saco)",VLOOKUP(C21,'Listas-2'!$B$12:$K$468,10,),VLOOKUP(C21,'Listas-2'!$B$12:$K$468,9,))</f>
        <v>201.85</v>
      </c>
      <c r="H21" s="239">
        <f>IF(C21="Imprimación no necesaria",0,G21/VLOOKUP(C21,'Listas-2'!$B$12:$K$468,5,))</f>
        <v>13.456666666666667</v>
      </c>
      <c r="I21" s="289"/>
      <c r="J21" s="239">
        <f t="shared" si="0"/>
        <v>13.456666666666667</v>
      </c>
      <c r="K21" s="290">
        <f t="shared" si="1"/>
        <v>2.2876333333333334</v>
      </c>
      <c r="N21" s="291" t="e">
        <f>VLOOKUP(C22,'Lista - memorias'!$B$1:$C$241,2,)</f>
        <v>#N/A</v>
      </c>
      <c r="O21" s="273" t="e">
        <f>IF(OR(N21="webertherm clima",N21="ceramic optima",N21="ceramic plus"),N21,"capa fina")</f>
        <v>#N/A</v>
      </c>
      <c r="P21" s="250"/>
      <c r="Q21" s="273"/>
      <c r="R21" s="250"/>
      <c r="S21" s="273" t="e">
        <f>VLOOKUP(N21,REV!$A$2:$B$16,2,)</f>
        <v>#N/A</v>
      </c>
      <c r="T21" s="250"/>
      <c r="U21" s="487" t="e">
        <f>IF(N21="webertene premium M",CONCATENATE(VLOOKUP(N21,REV!$A$2:$C$14,3,),VLOOKUP("weberprim silicato",REV!$A$2:$C$19,3,)),IF(AND(VLOOKUP(N21,REV!$A$2:$C$19,2,)="acabado orgánico",N19="webertherm base"),CONCATENATE(VLOOKUP(N21,REV!$A$3:$C$19,3,),VLOOKUP(N23,REV!$A$3:$C$19,3,)),VLOOKUP(N21,REV!$A$2:$C$19,3,)))</f>
        <v>#N/A</v>
      </c>
    </row>
    <row r="22" spans="1:76">
      <c r="B22" s="473"/>
      <c r="C22" s="465" t="s">
        <v>1002</v>
      </c>
      <c r="D22" s="465"/>
      <c r="E22" s="227" t="str">
        <f>VLOOKUP(C22,'Listas-2'!$B$12:$K$468,6,)</f>
        <v>kg</v>
      </c>
      <c r="F22" s="228">
        <f>VLOOKUP(C22,'Listas-2'!$B$12:$K$468,3,)</f>
        <v>1.8</v>
      </c>
      <c r="G22" s="239">
        <f>IF($G$15="PVP saco palet (€/saco)",VLOOKUP(C22,'Listas-2'!$B$12:$K$468,10,),VLOOKUP(C22,'Listas-2'!$B$12:$K$468,9,))</f>
        <v>130.94999999999999</v>
      </c>
      <c r="H22" s="239">
        <f>G22/VLOOKUP(C22,'Listas-2'!$B$12:$K$468,5,)</f>
        <v>5.2379999999999995</v>
      </c>
      <c r="I22" s="289"/>
      <c r="J22" s="239">
        <f t="shared" si="0"/>
        <v>5.2379999999999995</v>
      </c>
      <c r="K22" s="290">
        <f t="shared" si="1"/>
        <v>9.4283999999999999</v>
      </c>
      <c r="N22" s="250"/>
      <c r="O22" s="250"/>
      <c r="P22" s="250"/>
      <c r="Q22" s="250"/>
      <c r="R22" s="250"/>
      <c r="S22" s="250"/>
      <c r="T22" s="250"/>
      <c r="U22" s="487"/>
    </row>
    <row r="23" spans="1:76" ht="17.5" customHeight="1">
      <c r="B23" s="292"/>
      <c r="C23" s="270"/>
      <c r="D23" s="270"/>
      <c r="E23" s="270"/>
      <c r="F23" s="293"/>
      <c r="G23" s="294"/>
      <c r="H23" s="293"/>
      <c r="I23" s="295"/>
      <c r="J23" s="296"/>
      <c r="K23" s="297"/>
      <c r="N23" s="250" t="e">
        <f>VLOOKUP(C21,'Lista - memorias'!$B$1:$C$229,2,)</f>
        <v>#N/A</v>
      </c>
      <c r="O23" s="250"/>
      <c r="P23" s="250"/>
      <c r="Q23" s="250"/>
      <c r="R23" s="250"/>
      <c r="S23" s="250"/>
      <c r="T23" s="250"/>
      <c r="U23" s="263" t="e">
        <f>IF(N23="Imprimación no necesaria","",VLOOKUP(N23,REV!$A$17:$C$19,3,))</f>
        <v>#N/A</v>
      </c>
    </row>
    <row r="24" spans="1:76" ht="28.15" customHeight="1">
      <c r="B24" s="269" t="s">
        <v>121</v>
      </c>
      <c r="C24" s="485"/>
      <c r="D24" s="485"/>
      <c r="E24" s="242"/>
      <c r="F24" s="243"/>
      <c r="G24" s="243"/>
      <c r="H24" s="242"/>
      <c r="I24" s="298"/>
      <c r="J24" s="299"/>
      <c r="K24" s="300"/>
      <c r="N24" s="245"/>
      <c r="O24" s="245"/>
      <c r="P24" s="245"/>
      <c r="Q24" s="245"/>
      <c r="R24" s="245"/>
      <c r="S24" s="245"/>
      <c r="T24" s="245"/>
      <c r="U24" s="493"/>
      <c r="Z24" s="301"/>
      <c r="AA24" s="301"/>
      <c r="AB24" s="301"/>
      <c r="AC24" s="301"/>
    </row>
    <row r="25" spans="1:76">
      <c r="B25" s="287" t="s">
        <v>927</v>
      </c>
      <c r="C25" s="465"/>
      <c r="D25" s="465"/>
      <c r="E25" s="235"/>
      <c r="F25" s="288"/>
      <c r="G25" s="302"/>
      <c r="H25" s="302"/>
      <c r="I25" s="289"/>
      <c r="J25" s="302"/>
      <c r="K25" s="290">
        <f>J25</f>
        <v>0</v>
      </c>
      <c r="N25" s="303"/>
      <c r="O25" s="303"/>
      <c r="P25" s="303"/>
      <c r="Q25" s="303"/>
      <c r="R25" s="303"/>
      <c r="S25" s="303"/>
      <c r="T25" s="303"/>
      <c r="U25" s="493"/>
      <c r="Z25" s="301"/>
      <c r="AA25" s="304"/>
      <c r="AB25" s="305"/>
      <c r="AC25" s="301"/>
    </row>
    <row r="26" spans="1:76">
      <c r="B26" s="287" t="s">
        <v>177</v>
      </c>
      <c r="C26" s="465" t="s">
        <v>98</v>
      </c>
      <c r="D26" s="465"/>
      <c r="E26" s="235" t="str">
        <f>IF(C26="-","-",VLOOKUP(C26,'Listas-2'!$B$12:$K$468,6,))</f>
        <v>-</v>
      </c>
      <c r="F26" s="288" t="str">
        <f>IF(C26="-","-",VLOOKUP(C26,'Listas-2'!$B$12:$K$468,3,))</f>
        <v>-</v>
      </c>
      <c r="G26" s="302" t="str">
        <f>IF(C26="-","-",IF($G$15="PVP saco palet (€/saco)",VLOOKUP(C26,'Listas-2'!$B$12:$K$468,10,),VLOOKUP(C26,'Listas-2'!$B$12:$K$468,9,)))</f>
        <v>-</v>
      </c>
      <c r="H26" s="302" t="str">
        <f>IF(C26="-","-",G26/VLOOKUP(C26,'Listas-2'!$B$12:$K$468,5,))</f>
        <v>-</v>
      </c>
      <c r="I26" s="289"/>
      <c r="J26" s="302" t="str">
        <f>IF(C26="-","-",(H26-(I26*H26)))</f>
        <v>-</v>
      </c>
      <c r="K26" s="290">
        <f>IF(C26="-",0,(J26*F26))</f>
        <v>0</v>
      </c>
      <c r="N26" s="303"/>
      <c r="O26" s="303"/>
      <c r="P26" s="303"/>
      <c r="Q26" s="303"/>
      <c r="R26" s="303"/>
      <c r="S26" s="303"/>
      <c r="T26" s="303"/>
      <c r="U26" s="493"/>
      <c r="Z26" s="301"/>
      <c r="AA26" s="301"/>
      <c r="AB26" s="301"/>
      <c r="AC26" s="301"/>
    </row>
    <row r="27" spans="1:76" s="271" customFormat="1">
      <c r="A27" s="258"/>
      <c r="B27" s="306" t="s">
        <v>314</v>
      </c>
      <c r="C27" s="481" t="s">
        <v>98</v>
      </c>
      <c r="D27" s="482"/>
      <c r="E27" s="235" t="str">
        <f>IF(C27="-","-",VLOOKUP(C27,'Listas-2'!$B$12:$K$468,6,))</f>
        <v>-</v>
      </c>
      <c r="F27" s="288" t="str">
        <f>IF(C27="-","-",VLOOKUP(C27,'Listas-2'!$B$12:$K$468,3,))</f>
        <v>-</v>
      </c>
      <c r="G27" s="302" t="str">
        <f>IF(C27="-","-",IF($G$15="PVP saco palet (€/saco)",VLOOKUP(C27,'Listas-2'!$B$12:$K$468,10,),VLOOKUP(C27,'Listas-2'!$B$12:$K$468,9,)))</f>
        <v>-</v>
      </c>
      <c r="H27" s="302" t="str">
        <f>IF(C27="-","-",G27/VLOOKUP(C27,'Listas-2'!$B$12:$K$468,5,))</f>
        <v>-</v>
      </c>
      <c r="I27" s="289"/>
      <c r="J27" s="302" t="str">
        <f>IF(C27="-","-",(H27-(I27*H27)))</f>
        <v>-</v>
      </c>
      <c r="K27" s="290">
        <f>IF(C27="-",0,(J27*F27))</f>
        <v>0</v>
      </c>
      <c r="L27" s="258"/>
      <c r="N27" s="303"/>
      <c r="O27" s="303"/>
      <c r="P27" s="303"/>
      <c r="Q27" s="303"/>
      <c r="R27" s="303"/>
      <c r="S27" s="303"/>
      <c r="T27" s="303"/>
      <c r="U27" s="493"/>
      <c r="AH27" s="307"/>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row>
    <row r="28" spans="1:76" ht="14.5" thickBot="1">
      <c r="B28" s="240"/>
      <c r="C28" s="240"/>
      <c r="D28" s="240"/>
      <c r="E28" s="242"/>
      <c r="F28" s="243"/>
      <c r="G28" s="243"/>
      <c r="H28" s="240"/>
      <c r="I28" s="240"/>
      <c r="J28" s="240"/>
      <c r="K28" s="300"/>
      <c r="N28" s="303"/>
      <c r="O28" s="303"/>
      <c r="P28" s="303"/>
      <c r="Q28" s="303"/>
      <c r="R28" s="303"/>
      <c r="S28" s="303"/>
      <c r="T28" s="303"/>
      <c r="U28" s="308"/>
    </row>
    <row r="29" spans="1:76" s="312" customFormat="1" ht="18.649999999999999" customHeight="1" thickBot="1">
      <c r="A29" s="309"/>
      <c r="B29" s="309"/>
      <c r="C29" s="483"/>
      <c r="D29" s="483"/>
      <c r="E29" s="310"/>
      <c r="F29" s="475" t="s">
        <v>355</v>
      </c>
      <c r="G29" s="476"/>
      <c r="H29" s="476"/>
      <c r="I29" s="476"/>
      <c r="J29" s="477"/>
      <c r="K29" s="311">
        <f>SUM(K16:K27)</f>
        <v>47.809033333333332</v>
      </c>
      <c r="L29" s="309"/>
      <c r="U29" s="313"/>
      <c r="AH29" s="314"/>
    </row>
    <row r="30" spans="1:76" ht="6" customHeight="1">
      <c r="A30" s="315"/>
      <c r="B30" s="316"/>
      <c r="C30" s="316"/>
      <c r="D30" s="316"/>
      <c r="E30" s="316"/>
      <c r="F30" s="316"/>
      <c r="G30" s="316"/>
      <c r="H30" s="316"/>
      <c r="I30" s="316"/>
      <c r="J30" s="316"/>
      <c r="K30" s="317"/>
      <c r="N30" s="303"/>
      <c r="O30" s="303"/>
      <c r="P30" s="303"/>
      <c r="Q30" s="303"/>
      <c r="R30" s="303"/>
      <c r="S30" s="303"/>
      <c r="T30" s="303"/>
      <c r="U30" s="308"/>
    </row>
    <row r="31" spans="1:76" ht="6" customHeight="1">
      <c r="A31" s="315"/>
      <c r="B31" s="316"/>
      <c r="C31" s="316"/>
      <c r="D31" s="316"/>
      <c r="E31" s="316"/>
      <c r="F31" s="316"/>
      <c r="G31" s="316"/>
      <c r="H31" s="316"/>
      <c r="I31" s="316"/>
      <c r="J31" s="316"/>
      <c r="K31" s="317"/>
      <c r="N31" s="303"/>
      <c r="O31" s="303"/>
      <c r="P31" s="303"/>
      <c r="Q31" s="303"/>
      <c r="R31" s="303"/>
      <c r="S31" s="303"/>
      <c r="T31" s="303"/>
      <c r="U31" s="308"/>
    </row>
    <row r="32" spans="1:76" ht="14.5" customHeight="1">
      <c r="B32" s="240"/>
      <c r="C32" s="242"/>
      <c r="D32" s="242"/>
      <c r="E32" s="242"/>
      <c r="F32" s="318"/>
      <c r="G32" s="318"/>
      <c r="H32" s="318"/>
      <c r="I32" s="318"/>
      <c r="J32" s="318"/>
      <c r="K32" s="319"/>
      <c r="N32" s="303"/>
      <c r="O32" s="303"/>
      <c r="P32" s="303"/>
      <c r="Q32" s="303"/>
      <c r="R32" s="303"/>
      <c r="S32" s="303"/>
      <c r="T32" s="303"/>
      <c r="U32" s="308"/>
    </row>
    <row r="33" spans="1:76" ht="6" customHeight="1">
      <c r="A33" s="315"/>
      <c r="B33" s="320"/>
      <c r="C33" s="320"/>
      <c r="D33" s="320"/>
      <c r="E33" s="320"/>
      <c r="F33" s="320"/>
      <c r="G33" s="320"/>
      <c r="H33" s="320"/>
      <c r="I33" s="320"/>
      <c r="J33" s="320"/>
      <c r="K33" s="321"/>
      <c r="N33" s="303"/>
      <c r="O33" s="303"/>
      <c r="P33" s="303"/>
      <c r="Q33" s="303"/>
      <c r="R33" s="303"/>
      <c r="S33" s="303"/>
      <c r="T33" s="303"/>
      <c r="U33" s="308"/>
    </row>
    <row r="34" spans="1:76" ht="6" customHeight="1">
      <c r="A34" s="315"/>
      <c r="B34" s="316"/>
      <c r="C34" s="316"/>
      <c r="D34" s="316"/>
      <c r="E34" s="316"/>
      <c r="F34" s="316"/>
      <c r="G34" s="316"/>
      <c r="H34" s="316"/>
      <c r="I34" s="316"/>
      <c r="J34" s="316"/>
      <c r="K34" s="317"/>
      <c r="N34" s="303"/>
      <c r="O34" s="303"/>
      <c r="P34" s="303"/>
      <c r="Q34" s="303"/>
      <c r="R34" s="303"/>
      <c r="S34" s="303"/>
      <c r="T34" s="303"/>
      <c r="U34" s="308"/>
    </row>
    <row r="35" spans="1:76" ht="6" customHeight="1">
      <c r="A35" s="315"/>
      <c r="B35" s="316"/>
      <c r="C35" s="316"/>
      <c r="D35" s="316"/>
      <c r="E35" s="316"/>
      <c r="F35" s="316"/>
      <c r="G35" s="316"/>
      <c r="H35" s="316"/>
      <c r="I35" s="316"/>
      <c r="J35" s="316"/>
      <c r="K35" s="317"/>
      <c r="N35" s="250"/>
      <c r="O35" s="250"/>
      <c r="P35" s="250"/>
      <c r="Q35" s="250"/>
      <c r="R35" s="250"/>
      <c r="S35" s="250"/>
      <c r="T35" s="250"/>
      <c r="U35" s="322"/>
    </row>
    <row r="36" spans="1:76" ht="6" customHeight="1">
      <c r="A36" s="315"/>
      <c r="B36" s="316"/>
      <c r="C36" s="316"/>
      <c r="D36" s="316"/>
      <c r="E36" s="316"/>
      <c r="F36" s="316"/>
      <c r="G36" s="316"/>
      <c r="H36" s="316"/>
      <c r="I36" s="316"/>
      <c r="J36" s="316"/>
      <c r="K36" s="317"/>
      <c r="N36" s="250"/>
      <c r="O36" s="250"/>
      <c r="P36" s="250"/>
      <c r="Q36" s="250"/>
      <c r="R36" s="250"/>
      <c r="S36" s="250"/>
      <c r="T36" s="250"/>
      <c r="U36" s="322"/>
    </row>
    <row r="37" spans="1:76" ht="14.5" customHeight="1">
      <c r="B37" s="240"/>
      <c r="C37" s="242"/>
      <c r="D37" s="242"/>
      <c r="E37" s="242"/>
      <c r="F37" s="318"/>
      <c r="G37" s="318"/>
      <c r="H37" s="318"/>
      <c r="I37" s="318"/>
      <c r="J37" s="318"/>
      <c r="K37" s="319"/>
      <c r="N37" s="250"/>
      <c r="O37" s="250"/>
      <c r="P37" s="250"/>
      <c r="Q37" s="250"/>
      <c r="R37" s="250"/>
      <c r="S37" s="250"/>
      <c r="T37" s="250"/>
      <c r="U37" s="322" t="s">
        <v>369</v>
      </c>
    </row>
    <row r="38" spans="1:76" ht="14.5" customHeight="1">
      <c r="B38" s="269" t="s">
        <v>341</v>
      </c>
      <c r="C38" s="242"/>
      <c r="D38" s="242"/>
      <c r="E38" s="242"/>
      <c r="F38" s="318"/>
      <c r="G38" s="318"/>
      <c r="H38" s="318"/>
      <c r="I38" s="318"/>
      <c r="J38" s="318"/>
      <c r="K38" s="319"/>
      <c r="N38" s="250"/>
      <c r="O38" s="250"/>
      <c r="P38" s="250"/>
      <c r="Q38" s="250"/>
      <c r="R38" s="250"/>
      <c r="S38" s="250"/>
      <c r="T38" s="250"/>
      <c r="U38" s="322"/>
    </row>
    <row r="39" spans="1:76" ht="14.5" customHeight="1">
      <c r="B39" s="240"/>
      <c r="C39" s="242"/>
      <c r="D39" s="242"/>
      <c r="E39" s="242"/>
      <c r="F39" s="318"/>
      <c r="G39" s="318"/>
      <c r="H39" s="318"/>
      <c r="I39" s="318"/>
      <c r="J39" s="318"/>
      <c r="K39" s="319"/>
      <c r="N39" s="250"/>
      <c r="O39" s="250"/>
      <c r="P39" s="250"/>
      <c r="Q39" s="250"/>
      <c r="R39" s="250"/>
      <c r="S39" s="250"/>
      <c r="T39" s="250"/>
      <c r="U39" s="322"/>
    </row>
    <row r="40" spans="1:76" ht="14.5" customHeight="1">
      <c r="B40" s="287" t="s">
        <v>3</v>
      </c>
      <c r="C40" s="465" t="s">
        <v>513</v>
      </c>
      <c r="D40" s="465"/>
      <c r="E40" s="227" t="str">
        <f>IF(C40="-","-",VLOOKUP(C40,'Listas-2'!$B$12:$K$464,6,))</f>
        <v>kg</v>
      </c>
      <c r="F40" s="228">
        <f>IF(C40="-","-",VLOOKUP(C40,'Listas-2'!$B$12:$K$468,3,))</f>
        <v>5</v>
      </c>
      <c r="G40" s="239">
        <f>IF(C40="-","-",IF($G$15="PVP saco palet (€/saco)",VLOOKUP(C40,'Listas-2'!$B$12:$K$468,10,),VLOOKUP(C40,'Listas-2'!$B$12:$K$468,9,)))</f>
        <v>27.98</v>
      </c>
      <c r="H40" s="239">
        <f>IF(C40="-","-",G40/VLOOKUP(C40,'Listas-2'!$B$12:$K$464,5,))</f>
        <v>1.1192</v>
      </c>
      <c r="I40" s="289"/>
      <c r="J40" s="239">
        <f t="shared" ref="J40:J46" si="2">IF(C40="-","-",(H40-(I40*H40)))</f>
        <v>1.1192</v>
      </c>
      <c r="K40" s="290">
        <f>IF(C40="-",0,(J40*F40))</f>
        <v>5.5960000000000001</v>
      </c>
      <c r="N40" s="285" t="str">
        <f>VLOOKUP(C40,'Lista - memorias'!$B$1:$D$241,2,)</f>
        <v>webertherm baseGEL</v>
      </c>
      <c r="O40" s="250"/>
      <c r="P40" s="250"/>
      <c r="Q40" s="250"/>
      <c r="R40" s="250"/>
      <c r="S40" s="250"/>
      <c r="T40" s="250"/>
      <c r="U40" s="323" t="str">
        <f>SUBSTITUTE(VLOOKUP(N40,ADH!$A$3:$B$6,2,),"y serán adheridas","adheridas")</f>
        <v xml:space="preserve">adheridas mediante el mortero monocomponente para la adhesión y regularización de paneles de aislamiento térmico, webertherm BASEGEL, compuesto a base de cemento gris, cargas minerales, resinas redispersables en polvo, fibra de vidrio de alta dispersión y aditivos especiales; y con las siguientes características técnicas: adherencia sobre ladrillo cerámico ≥ 0,3 MPa, adherencia sobre webertherm AISLONE y sobre webertherm PLACA EPS ≥ 0,08 MPa (CFS), absorción agua por capilaridad ≤ 0,2 kg/m² ·min0,5 (Clase W2), μ ≤ 10, resistencia a flexión ≥ 2 MPa, resistencia a compresión ≥ 6,0 MPa (CSIV), reacción al fuego Euroclase A1 y conductividad térmica 0,44 W/m·K. La aplicación del mortero como adhesivo se realizará directamente en el reverso de la placa mediante cordón perimetral y pegotes centrales asegurando una superficie de adhesión mínima del 40%, o bien mediante doble encolado con llana dentada de 10 x 10 mm, en caso de aplicación posterior sobre el soporte plano (irregularidades inferiores a 10 mm bajo un regle de 2 m), con un espesor total de 1 cm. </v>
      </c>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row>
    <row r="41" spans="1:76" ht="14.5" customHeight="1">
      <c r="B41" s="287" t="s">
        <v>6</v>
      </c>
      <c r="C41" s="465" t="s">
        <v>576</v>
      </c>
      <c r="D41" s="465"/>
      <c r="E41" s="227" t="str">
        <f>IF(C41="-","-",VLOOKUP(C41,'Listas-2'!$B$12:$K$464,6,))</f>
        <v>m²</v>
      </c>
      <c r="F41" s="228">
        <f>IF(C41="-","-",VLOOKUP(C41,'Listas-2'!$B$12:$K$468,3,))</f>
        <v>1</v>
      </c>
      <c r="G41" s="239" t="str">
        <f>IF(C41="-","-",IF($G$15="PVP saco palet (€/saco)",VLOOKUP(C41,'Listas-2'!$B$12:$K$468,10,),VLOOKUP(C41,'Listas-2'!$B$12:$K$468,9,)))</f>
        <v>-</v>
      </c>
      <c r="H41" s="239">
        <f>IF(C41="-","-",VLOOKUP(C41,'Listas-2'!$B$12:$K$464,2,))</f>
        <v>35.659999999999997</v>
      </c>
      <c r="I41" s="289"/>
      <c r="J41" s="239">
        <f t="shared" si="2"/>
        <v>35.659999999999997</v>
      </c>
      <c r="K41" s="290">
        <f t="shared" ref="K41:K46" si="3">IF(C41="-",0,(J41*F41))</f>
        <v>35.659999999999997</v>
      </c>
      <c r="N41" s="325" t="str">
        <f>VLOOKUP(C41,'Lista - memorias'!$B$1:$D$241,2,)</f>
        <v>webertherm placa XPS</v>
      </c>
      <c r="O41" s="273" t="str">
        <f>IF(OR(N41="webertherm aislone",N48="webertherm clima"),"aislone",IF(N41="webertherm placa clima 34","lana",IF(N41="webertherm placa DUO","lana",IF(N41="webertherm placa MD","lana","sintética"))))</f>
        <v>sintética</v>
      </c>
      <c r="P41" s="250"/>
      <c r="Q41" s="274">
        <f>VLOOKUP(C41,'Lista - memorias'!$B$1:$D$241,3,)</f>
        <v>80</v>
      </c>
      <c r="R41" s="250"/>
      <c r="S41" s="250"/>
      <c r="T41" s="250"/>
      <c r="U41" s="323" t="str">
        <f>SUBSTITUTE(VLOOKUP(N41,AIS!$A$2:$D$11,4,),"en el espesor establecido por la dirección facultativa",CONCATENATE("de ",Q41," mm de espesor"))</f>
        <v xml:space="preserve">Colocación de la/s primera/s hilera, en contacto con el suelo, de placas aislantes de poliestireno extruido (XPS) sin piel, webertherm PLACA XPS, con código de designación según norma XPS-EN 13164: T1 - MU150 - CS(10\Y)300 - WL(T)0,7, Euroclase E de reacción al fuego, y conductividad térmica 0,034 W/m·K, de 80 mm de espesor, </v>
      </c>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row>
    <row r="42" spans="1:76" ht="14.5" customHeight="1">
      <c r="B42" s="287" t="s">
        <v>7</v>
      </c>
      <c r="C42" s="481" t="s">
        <v>624</v>
      </c>
      <c r="D42" s="482"/>
      <c r="E42" s="227" t="str">
        <f>IF(C42="-","-",VLOOKUP(C42,'Listas-2'!$B$12:$K$464,6,))</f>
        <v>ud</v>
      </c>
      <c r="F42" s="228">
        <f>IF(C42="-","-",VLOOKUP(C42,'Listas-2'!$B$12:$K$468,3,))</f>
        <v>6</v>
      </c>
      <c r="G42" s="239">
        <f>IF(C42="-","-",IF($G$15="PVP saco palet (€/saco)",VLOOKUP(C42,'Listas-2'!$B$12:$K$468,10,),VLOOKUP(C42,'Listas-2'!$B$12:$K$468,9,)))</f>
        <v>136.35</v>
      </c>
      <c r="H42" s="239">
        <f>IF(C42="-","-",G42/VLOOKUP(C42,'Listas-2'!$B$12:$F$266,5,))</f>
        <v>1.3634999999999999</v>
      </c>
      <c r="I42" s="289"/>
      <c r="J42" s="239">
        <f t="shared" si="2"/>
        <v>1.3634999999999999</v>
      </c>
      <c r="K42" s="290">
        <f t="shared" si="3"/>
        <v>8.1809999999999992</v>
      </c>
      <c r="N42" s="291" t="str">
        <f>VLOOKUP(C42,'Lista - memorias'!$B$1:$C$241,2,)</f>
        <v>webertherm espiga SRD-5</v>
      </c>
      <c r="O42" s="273" t="str">
        <f>MID(N42,19,8)</f>
        <v>SRD-5</v>
      </c>
      <c r="P42" s="250"/>
      <c r="Q42" s="250"/>
      <c r="R42" s="250"/>
      <c r="S42" s="273" t="str">
        <f>CONCATENATE("webertherm espiga ",O42,"-","placa")</f>
        <v>webertherm espiga SRD-5-placa</v>
      </c>
      <c r="T42" s="250"/>
      <c r="U42" s="323" t="str">
        <f>VLOOKUP(S42,FIJ_1!$A$2:$E$10,5,)</f>
        <v xml:space="preserve">Una vez seco el mortero de adhesión (transcurridas 24 horas), las placas serán ancladas mecánicamente con espigas de fijación de núcleo metálico webertherm ESPIGA SRD 5, atornilladas mediante avellanado o planas en superficie, sin perforar la impermeabilización. </v>
      </c>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row>
    <row r="43" spans="1:76" s="240" customFormat="1" ht="14.5" customHeight="1">
      <c r="B43" s="473" t="s">
        <v>9</v>
      </c>
      <c r="C43" s="465" t="s">
        <v>513</v>
      </c>
      <c r="D43" s="465"/>
      <c r="E43" s="227" t="str">
        <f>IF(C43="-","-",VLOOKUP(C43,'Listas-2'!$B$12:$K$464,6,))</f>
        <v>kg</v>
      </c>
      <c r="F43" s="228">
        <f>IF(C43="-","-",VLOOKUP(C43,'Listas-2'!$B$12:$K$468,4,))</f>
        <v>5</v>
      </c>
      <c r="G43" s="239">
        <f>IF(C43="-","-",IF($G$15="PVP saco palet (€/saco)",VLOOKUP(C43,'Listas-2'!$B$12:$K$468,10,),VLOOKUP(C43,'Listas-2'!$B$12:$K$468,9,)))</f>
        <v>27.98</v>
      </c>
      <c r="H43" s="239">
        <f>IF(C43="-","-",G43/VLOOKUP(C43,'Listas-2'!$B$12:$F$266,5,))</f>
        <v>1.1192</v>
      </c>
      <c r="I43" s="289"/>
      <c r="J43" s="239">
        <f t="shared" si="2"/>
        <v>1.1192</v>
      </c>
      <c r="K43" s="290">
        <f t="shared" si="3"/>
        <v>5.5960000000000001</v>
      </c>
      <c r="M43" s="326"/>
      <c r="N43" s="291" t="str">
        <f>VLOOKUP(C43,'Lista - memorias'!$B$1:$C$241,2,)</f>
        <v>webertherm baseGEL</v>
      </c>
      <c r="O43" s="250"/>
      <c r="P43" s="250"/>
      <c r="Q43" s="250"/>
      <c r="R43" s="250"/>
      <c r="S43" s="250"/>
      <c r="T43" s="250"/>
      <c r="U43" s="323" t="str">
        <f>CONCATENATE(VLOOKUP(N43,REF!$A$2:$B$4,2,),IF(C44="webertherm malla 160",VLOOKUP(O46,REF!$A$6:$C$9,2,),VLOOKUP(O46,REF!$A$6:$C$9,3,)))</f>
        <v xml:space="preserve">Posteriormente se realizará el revestimiento de las placas aislantes con webertherm BASEGEL, aplicado en un espesor de 2-3 mm por mano, en dos manos y armado con malla de fibra de vidrio alcalino-resistente webertherm MALLA 160, con apertura del entramado 3,5 x 3,8 mm, 160 g/m², espesor 0,52 mm, valor nominal de resistencia a tracción en condiciones estándar de 2200 / 2200 y resistencia a elongación 3,8 / 3,8, embebida en la mitad del espesor; se aplicará una primera mano de mortero regularizador sobre la que se colocará, en fresco, la malla de refuerzo. Pasadas 24h y ya seca la primera mano, se aplicará una segunda mano de mortero regularizador cubriendo la malla en su totalidad y dejando una superficie lisa y apta para recibir el acabado. </v>
      </c>
      <c r="V43" s="245"/>
      <c r="W43" s="245"/>
      <c r="X43" s="245"/>
      <c r="Y43" s="245"/>
      <c r="Z43" s="245"/>
      <c r="AA43" s="245"/>
      <c r="AB43" s="245"/>
      <c r="AC43" s="245"/>
      <c r="AD43" s="245"/>
      <c r="AE43" s="245"/>
      <c r="AF43" s="245"/>
      <c r="AG43" s="245"/>
      <c r="AH43" s="246"/>
      <c r="AI43" s="245"/>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row>
    <row r="44" spans="1:76" s="240" customFormat="1" ht="14.5" customHeight="1">
      <c r="B44" s="473"/>
      <c r="C44" s="465" t="s">
        <v>643</v>
      </c>
      <c r="D44" s="465"/>
      <c r="E44" s="227" t="str">
        <f>IF(C44="-","-",VLOOKUP(C44,'Listas-2'!$B$12:$K$464,6,))</f>
        <v>m²</v>
      </c>
      <c r="F44" s="228">
        <f>IF(C44="-","-",VLOOKUP(C44,'Listas-2'!$B$12:$K$468,3,))</f>
        <v>1.1000000000000001</v>
      </c>
      <c r="G44" s="239">
        <f>IF(C44="-","-",IF($G$15="PVP saco palet (€/saco)",VLOOKUP(C44,'Listas-2'!$B$12:$K$468,10,),VLOOKUP(C44,'Listas-2'!$B$12:$K$468,9,)))</f>
        <v>133.94</v>
      </c>
      <c r="H44" s="239">
        <f>IF(C44="-","-",G44/VLOOKUP(C44,'Listas-2'!$B$12:$F$266,5,))</f>
        <v>2.4352727272727273</v>
      </c>
      <c r="I44" s="327"/>
      <c r="J44" s="239">
        <f t="shared" si="2"/>
        <v>2.4352727272727273</v>
      </c>
      <c r="K44" s="290">
        <f t="shared" si="3"/>
        <v>2.6788000000000003</v>
      </c>
      <c r="M44" s="245"/>
      <c r="N44" s="250"/>
      <c r="O44" s="250"/>
      <c r="P44" s="250"/>
      <c r="Q44" s="250"/>
      <c r="R44" s="250"/>
      <c r="S44" s="250"/>
      <c r="T44" s="250"/>
      <c r="U44" s="250"/>
      <c r="V44" s="245"/>
      <c r="W44" s="245"/>
      <c r="X44" s="245"/>
      <c r="Y44" s="245"/>
      <c r="Z44" s="245"/>
      <c r="AA44" s="245"/>
      <c r="AB44" s="245"/>
      <c r="AC44" s="245"/>
      <c r="AD44" s="245"/>
      <c r="AE44" s="245"/>
      <c r="AF44" s="245"/>
      <c r="AG44" s="245"/>
      <c r="AH44" s="246"/>
      <c r="AI44" s="245"/>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row>
    <row r="45" spans="1:76" s="240" customFormat="1" ht="14.5" customHeight="1">
      <c r="B45" s="473" t="s">
        <v>11</v>
      </c>
      <c r="C45" s="465" t="s">
        <v>932</v>
      </c>
      <c r="D45" s="474"/>
      <c r="E45" s="227" t="e">
        <f>IF(C45="-","-",VLOOKUP(C45,'Listas-2'!$B$12:$K$464,6,))</f>
        <v>#N/A</v>
      </c>
      <c r="F45" s="228" t="e">
        <f>IF(C45="-","-",VLOOKUP(C45,'Listas-2'!$B$12:$K$468,3,))</f>
        <v>#N/A</v>
      </c>
      <c r="G45" s="239" t="e">
        <f>IF(C45="-","-",IF($G$15="PVP saco palet (€/saco)",VLOOKUP(C45,'Listas-2'!$B$12:$K$468,10,),VLOOKUP(C45,'Listas-2'!$B$12:$K$468,9,)))</f>
        <v>#N/A</v>
      </c>
      <c r="H45" s="239" t="e">
        <f>IF(C45="-","-",G45/VLOOKUP(C45,'Listas-2'!$B$12:$F$266,5,))</f>
        <v>#N/A</v>
      </c>
      <c r="I45" s="289"/>
      <c r="J45" s="239" t="e">
        <f t="shared" si="2"/>
        <v>#N/A</v>
      </c>
      <c r="K45" s="290" t="e">
        <f>IF(C45="-",0,(J45*F45))</f>
        <v>#N/A</v>
      </c>
      <c r="M45" s="245"/>
      <c r="N45" s="250"/>
      <c r="O45" s="250"/>
      <c r="P45" s="250"/>
      <c r="Q45" s="250"/>
      <c r="R45" s="250"/>
      <c r="S45" s="250"/>
      <c r="T45" s="250"/>
      <c r="U45" s="250"/>
      <c r="V45" s="245"/>
      <c r="W45" s="245"/>
      <c r="X45" s="245"/>
      <c r="Y45" s="245"/>
      <c r="Z45" s="245"/>
      <c r="AA45" s="245"/>
      <c r="AB45" s="245"/>
      <c r="AC45" s="245"/>
      <c r="AD45" s="245"/>
      <c r="AE45" s="245"/>
      <c r="AF45" s="245"/>
      <c r="AG45" s="245"/>
      <c r="AH45" s="246"/>
      <c r="AI45" s="245"/>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row>
    <row r="46" spans="1:76" s="240" customFormat="1" ht="14.5" customHeight="1">
      <c r="B46" s="473"/>
      <c r="C46" s="465" t="s">
        <v>929</v>
      </c>
      <c r="D46" s="465"/>
      <c r="E46" s="227" t="e">
        <f>IF(C46="-","-",VLOOKUP(C46,'Listas-2'!$B$12:$K$464,6,))</f>
        <v>#N/A</v>
      </c>
      <c r="F46" s="228" t="e">
        <f>IF(C46="-","-",VLOOKUP(C46,'Listas-2'!$B$12:$K$468,3,))</f>
        <v>#N/A</v>
      </c>
      <c r="G46" s="239" t="e">
        <f>IF(C46="-","-",IF($G$15="PVP saco palet (€/saco)",VLOOKUP(C46,'Listas-2'!$B$12:$K$468,10,),VLOOKUP(C46,'Listas-2'!$B$12:$K$468,9,)))</f>
        <v>#N/A</v>
      </c>
      <c r="H46" s="239" t="e">
        <f>IF(C46="-","-",G46/VLOOKUP(C46,'Listas-2'!$B$12:$F$266,5,))</f>
        <v>#N/A</v>
      </c>
      <c r="I46" s="327"/>
      <c r="J46" s="239" t="e">
        <f t="shared" si="2"/>
        <v>#N/A</v>
      </c>
      <c r="K46" s="290" t="e">
        <f t="shared" si="3"/>
        <v>#N/A</v>
      </c>
      <c r="M46" s="245"/>
      <c r="N46" s="291" t="str">
        <f>VLOOKUP(C46,'Lista - memorias'!$B$1:$C$241,2,)</f>
        <v>webertene classic</v>
      </c>
      <c r="O46" s="273" t="str">
        <f>IF(OR(N46="webertherm clima",N46="ceramic optima",N46="ceramic plus"),N46,"capa fina")</f>
        <v>capa fina</v>
      </c>
      <c r="P46" s="250"/>
      <c r="Q46" s="273"/>
      <c r="R46" s="250"/>
      <c r="S46" s="273" t="str">
        <f>VLOOKUP(N46,REV!$A$2:$B$16,2,)</f>
        <v>acabado orgánico</v>
      </c>
      <c r="T46" s="250"/>
      <c r="U46" s="323" t="str">
        <f>IF(N46="webertene premium M",CONCATENATE(VLOOKUP(N46,REV!$A$2:$C$14,3,),VLOOKUP("weberprim silicato",REV!$A$2:$C$19,3,)),IF(AND(VLOOKUP(N46,REV!$A$2:$C$19,2,)="acabado orgánico",N43="webertherm base"),CONCATENATE(VLOOKUP(N46,REV!$A$3:$C$19,3,),VLOOKUP("webertene primer",REV!$A$3:$C$19,3,)),VLOOKUP(N46,REV!$A$2:$C$19,3,)))</f>
        <v>Finalmente, se aplicará el revestimiento de acabado Procolor Renovatherm acrílico  (disponible en granulometrías 1,0mm y 1,5mm), compuesto a base de resinas acrílicas, cargas minerales, pigmentos estables a UV, fungicidas y aditivos especiales y con las siguientes características técnicas: conductividad térmica 1,3 W/m·K, absorción agua por capilaridad W2, permeabilidad al vapor μ≤120 (V1 SD=0,25) y reacción al fuego Euroclase A2, aplicado a gota con pistola o fratasado con llana según indicaciones de la ficha técnica (granulometría, textura y color a definir por la D.F.)</v>
      </c>
      <c r="V46" s="245"/>
      <c r="W46" s="245"/>
      <c r="X46" s="245"/>
      <c r="Y46" s="245"/>
      <c r="Z46" s="245"/>
      <c r="AA46" s="245"/>
      <c r="AB46" s="245"/>
      <c r="AC46" s="245"/>
      <c r="AD46" s="245"/>
      <c r="AE46" s="245"/>
      <c r="AF46" s="245"/>
      <c r="AG46" s="245"/>
      <c r="AH46" s="246"/>
      <c r="AI46" s="245"/>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row>
    <row r="47" spans="1:76" s="240" customFormat="1">
      <c r="B47" s="328"/>
      <c r="C47" s="328"/>
      <c r="D47" s="242"/>
      <c r="E47" s="242"/>
      <c r="F47" s="318"/>
      <c r="G47" s="329"/>
      <c r="H47" s="329"/>
      <c r="I47" s="330"/>
      <c r="J47" s="329"/>
      <c r="K47" s="319"/>
      <c r="M47" s="245"/>
      <c r="N47" s="250" t="str">
        <f>VLOOKUP(C45,'Lista - memorias'!$B$1:$C$241,2,)</f>
        <v>webertene primer</v>
      </c>
      <c r="O47" s="250"/>
      <c r="P47" s="250"/>
      <c r="Q47" s="250"/>
      <c r="R47" s="250"/>
      <c r="S47" s="250"/>
      <c r="T47" s="250"/>
      <c r="U47" s="250"/>
      <c r="V47" s="245"/>
      <c r="W47" s="245"/>
      <c r="X47" s="245"/>
      <c r="Y47" s="245"/>
      <c r="Z47" s="245"/>
      <c r="AA47" s="245"/>
      <c r="AB47" s="245"/>
      <c r="AC47" s="245"/>
      <c r="AD47" s="245"/>
      <c r="AE47" s="245"/>
      <c r="AF47" s="245"/>
      <c r="AG47" s="245"/>
      <c r="AH47" s="246"/>
      <c r="AI47" s="245"/>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row>
    <row r="48" spans="1:76" s="240" customFormat="1" ht="14.5" thickBot="1">
      <c r="B48" s="328"/>
      <c r="C48" s="328"/>
      <c r="D48" s="242"/>
      <c r="E48" s="242"/>
      <c r="F48" s="318"/>
      <c r="G48" s="329"/>
      <c r="H48" s="329"/>
      <c r="I48" s="330"/>
      <c r="J48" s="329"/>
      <c r="K48" s="319"/>
      <c r="M48" s="245"/>
      <c r="N48" s="250"/>
      <c r="O48" s="250"/>
      <c r="P48" s="250"/>
      <c r="Q48" s="250"/>
      <c r="R48" s="250"/>
      <c r="S48" s="250"/>
      <c r="T48" s="250"/>
      <c r="U48" s="250"/>
      <c r="V48" s="245"/>
      <c r="W48" s="245"/>
      <c r="X48" s="245"/>
      <c r="Y48" s="245"/>
      <c r="Z48" s="245"/>
      <c r="AA48" s="245"/>
      <c r="AB48" s="245"/>
      <c r="AC48" s="245"/>
      <c r="AD48" s="245"/>
      <c r="AE48" s="245"/>
      <c r="AF48" s="245"/>
      <c r="AG48" s="245"/>
      <c r="AH48" s="246"/>
      <c r="AI48" s="245"/>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row>
    <row r="49" spans="1:76" ht="14.5" hidden="1" customHeight="1">
      <c r="A49" s="331"/>
      <c r="B49" s="332" t="s">
        <v>309</v>
      </c>
      <c r="C49" s="332"/>
      <c r="D49" s="332"/>
      <c r="E49" s="333"/>
      <c r="F49" s="334"/>
      <c r="G49" s="335"/>
      <c r="H49" s="335"/>
      <c r="I49" s="336"/>
      <c r="J49" s="335"/>
      <c r="K49" s="337"/>
      <c r="N49" s="250"/>
      <c r="O49" s="250"/>
      <c r="P49" s="250"/>
      <c r="Q49" s="250"/>
      <c r="R49" s="250"/>
      <c r="S49" s="250"/>
      <c r="T49" s="250"/>
      <c r="U49" s="322"/>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row>
    <row r="50" spans="1:76" ht="14.5" hidden="1" customHeight="1">
      <c r="A50" s="331"/>
      <c r="B50" s="338" t="s">
        <v>310</v>
      </c>
      <c r="C50" s="463" t="s">
        <v>98</v>
      </c>
      <c r="D50" s="464"/>
      <c r="E50" s="339" t="str">
        <f>IF(C50="-","-",VLOOKUP(C50,'Listas-2'!$B$12:$K$464,6,))</f>
        <v>-</v>
      </c>
      <c r="F50" s="340" t="str">
        <f>IF(C50="-","-",VLOOKUP(C50,'Listas-2'!$B$12:$K$468,3,)*C54)</f>
        <v>-</v>
      </c>
      <c r="G50" s="341" t="str">
        <f>IF(C50="-","-",IF($G$15="PVP saco palet (€/saco)",VLOOKUP(C50,'Listas-2'!$B$12:$K$468,10,),VLOOKUP(C50,'Listas-2'!$B$12:$K$468,9,)))</f>
        <v>-</v>
      </c>
      <c r="H50" s="341" t="str">
        <f>IF(C50="-","-",G50/VLOOKUP(C50,'Listas-2'!$B$12:$K$467,5,))</f>
        <v>-</v>
      </c>
      <c r="I50" s="342"/>
      <c r="J50" s="341" t="str">
        <f>IF(C50="-","-",(H50-(I50*H50)))</f>
        <v>-</v>
      </c>
      <c r="K50" s="343">
        <f>IF(C50="-",0,(J50*F50))</f>
        <v>0</v>
      </c>
      <c r="N50" s="291" t="str">
        <f>VLOOKUP(C50,'Lista - memorias'!$B$1:$D$241,2,)</f>
        <v>-</v>
      </c>
      <c r="O50" s="250"/>
      <c r="P50" s="250"/>
      <c r="Q50" s="250"/>
      <c r="R50" s="250"/>
      <c r="S50" s="250"/>
      <c r="T50" s="250"/>
      <c r="U50" s="323" t="str">
        <f>IF(N52="sin perfil de arranque",VLOOKUP(N50,ZOC!$A$2:$C$5,3,),VLOOKUP(N50,ZOC!$A$2:$C$5,2,))</f>
        <v xml:space="preserve">aplicación de sistema de impermeabilización y sellado (a definir por la D.F.) del encuentro de la fachada con el suelo exterior, hasta una altura ≥ 15 cm (no incl.). </v>
      </c>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row>
    <row r="51" spans="1:76" ht="14.5" hidden="1" customHeight="1">
      <c r="A51" s="331"/>
      <c r="B51" s="338" t="s">
        <v>311</v>
      </c>
      <c r="C51" s="463" t="s">
        <v>98</v>
      </c>
      <c r="D51" s="464"/>
      <c r="E51" s="339" t="str">
        <f>IF(C51="-","-",VLOOKUP(C51,'Listas-2'!$B$12:$K$464,6,))</f>
        <v>-</v>
      </c>
      <c r="F51" s="340" t="str">
        <f>IF(C51="-","-",VLOOKUP(C51,'Listas-2'!$B$12:$K$468,3,))</f>
        <v>-</v>
      </c>
      <c r="G51" s="341" t="str">
        <f>IF(C51="-","-",IF($G$15="PVP saco palet (€/saco)",VLOOKUP(C51,'Listas-2'!$B$12:$K$468,10,),VLOOKUP(C51,'Listas-2'!$B$12:$K$468,9,)))</f>
        <v>-</v>
      </c>
      <c r="H51" s="341" t="str">
        <f>IF(C51="-","-",G51/VLOOKUP(C51,'Listas-2'!$B$12:$K$467,5,))</f>
        <v>-</v>
      </c>
      <c r="I51" s="342"/>
      <c r="J51" s="341" t="str">
        <f>IF(C51="-","-",(H51-(I51*H51)))</f>
        <v>-</v>
      </c>
      <c r="K51" s="343">
        <f>IF(C51="-",0,(J51*F51))</f>
        <v>0</v>
      </c>
      <c r="N51" s="291" t="str">
        <f>C51</f>
        <v>-</v>
      </c>
      <c r="O51" s="250"/>
      <c r="P51" s="250"/>
      <c r="Q51" s="250"/>
      <c r="R51" s="250"/>
      <c r="S51" s="250"/>
      <c r="T51" s="250"/>
      <c r="U51" s="322"/>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row>
    <row r="52" spans="1:76" ht="14.5" hidden="1" customHeight="1">
      <c r="A52" s="331"/>
      <c r="B52" s="338" t="s">
        <v>342</v>
      </c>
      <c r="C52" s="463" t="s">
        <v>359</v>
      </c>
      <c r="D52" s="464"/>
      <c r="E52" s="339" t="str">
        <f>IF(C52="Sin perfil de arranque","-",VLOOKUP(C52,'Listas-2'!$B$12:$K$464,6,))</f>
        <v>-</v>
      </c>
      <c r="F52" s="340" t="str">
        <f>IF(C52="Sin perfil de arranque","-",VLOOKUP(C52,'Listas-2'!$B$12:$K$468,3,))</f>
        <v>-</v>
      </c>
      <c r="G52" s="341" t="str">
        <f>IF(C52="Sin perfil de arranque","-",IF($G$15="PVP saco palet (€/saco)",VLOOKUP(C52,'Listas-2'!$B$12:$K$468,10,),VLOOKUP(C52,'Listas-2'!$B$12:$K$468,9,)))</f>
        <v>-</v>
      </c>
      <c r="H52" s="341" t="str">
        <f>IF(C52="Sin perfil de arranque","-",G52/VLOOKUP(C52,'Listas-2'!$B$12:$K$467,5,))</f>
        <v>-</v>
      </c>
      <c r="I52" s="342"/>
      <c r="J52" s="341" t="str">
        <f>IF(C52="Sin perfil de arranque","-",(H52-(I52*H52)))</f>
        <v>-</v>
      </c>
      <c r="K52" s="343">
        <f>IF(C52="Sin perfil de arranque",0,(J52*F52))</f>
        <v>0</v>
      </c>
      <c r="N52" s="291" t="str">
        <f>C52</f>
        <v>Sin perfil de arranque</v>
      </c>
      <c r="O52" s="250"/>
      <c r="P52" s="250"/>
      <c r="Q52" s="250"/>
      <c r="R52" s="250"/>
      <c r="S52" s="250"/>
      <c r="T52" s="250"/>
      <c r="U52" s="323" t="str">
        <f>IF(N52="sin perfil de arranque","",ZOC!$B$7)</f>
        <v/>
      </c>
      <c r="AI52" s="34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row>
    <row r="53" spans="1:76" ht="14.5" hidden="1" customHeight="1" thickBot="1">
      <c r="A53" s="331"/>
      <c r="B53" s="345"/>
      <c r="C53" s="346"/>
      <c r="D53" s="346"/>
      <c r="E53" s="346"/>
      <c r="F53" s="347"/>
      <c r="G53" s="347"/>
      <c r="H53" s="347"/>
      <c r="I53" s="346"/>
      <c r="J53" s="347"/>
      <c r="K53" s="348"/>
      <c r="N53" s="250"/>
      <c r="O53" s="250"/>
      <c r="P53" s="250"/>
      <c r="Q53" s="250"/>
      <c r="R53" s="250"/>
      <c r="S53" s="250"/>
      <c r="T53" s="250"/>
      <c r="U53" s="322"/>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row>
    <row r="54" spans="1:76" ht="22.15" customHeight="1" thickBot="1">
      <c r="B54" s="349"/>
      <c r="C54" s="349"/>
      <c r="D54" s="256"/>
      <c r="E54" s="242"/>
      <c r="F54" s="475" t="s">
        <v>860</v>
      </c>
      <c r="G54" s="476"/>
      <c r="H54" s="476"/>
      <c r="I54" s="476"/>
      <c r="J54" s="477"/>
      <c r="K54" s="350" t="e">
        <f>SUM(K40:K46)</f>
        <v>#N/A</v>
      </c>
      <c r="N54" s="303"/>
      <c r="O54" s="303"/>
      <c r="P54" s="303"/>
      <c r="Q54" s="303"/>
      <c r="R54" s="303"/>
      <c r="S54" s="303"/>
      <c r="T54" s="303"/>
      <c r="U54" s="308"/>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row>
    <row r="55" spans="1:76" ht="24.65" customHeight="1">
      <c r="A55" s="315"/>
      <c r="B55" s="349"/>
      <c r="C55" s="349"/>
      <c r="D55" s="316"/>
      <c r="E55" s="316"/>
      <c r="F55" s="498"/>
      <c r="G55" s="498"/>
      <c r="H55" s="498"/>
      <c r="I55" s="498"/>
      <c r="J55" s="498"/>
      <c r="K55" s="498"/>
      <c r="N55" s="303"/>
      <c r="O55" s="303"/>
      <c r="P55" s="303"/>
      <c r="Q55" s="303"/>
      <c r="R55" s="303"/>
      <c r="S55" s="303"/>
      <c r="T55" s="303"/>
      <c r="U55" s="308"/>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row>
    <row r="56" spans="1:76" ht="24" customHeight="1">
      <c r="A56" s="315"/>
      <c r="B56" s="316"/>
      <c r="C56" s="316"/>
      <c r="D56" s="316"/>
      <c r="E56" s="316"/>
      <c r="F56" s="316"/>
      <c r="G56" s="316"/>
      <c r="H56" s="316"/>
      <c r="I56" s="316"/>
      <c r="J56" s="316"/>
      <c r="K56" s="317"/>
      <c r="N56" s="303"/>
      <c r="O56" s="303"/>
      <c r="P56" s="303"/>
      <c r="Q56" s="303"/>
      <c r="R56" s="303"/>
      <c r="S56" s="303"/>
      <c r="T56" s="303"/>
      <c r="U56" s="308"/>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row>
    <row r="57" spans="1:76" ht="14.5" customHeight="1">
      <c r="B57" s="240"/>
      <c r="C57" s="242"/>
      <c r="D57" s="242"/>
      <c r="E57" s="242"/>
      <c r="F57" s="318"/>
      <c r="G57" s="318"/>
      <c r="H57" s="318"/>
      <c r="I57" s="318"/>
      <c r="J57" s="318"/>
      <c r="K57" s="319"/>
      <c r="N57" s="303"/>
      <c r="O57" s="303"/>
      <c r="P57" s="303"/>
      <c r="Q57" s="303"/>
      <c r="R57" s="303"/>
      <c r="S57" s="303"/>
      <c r="T57" s="303"/>
      <c r="U57" s="308"/>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row>
    <row r="58" spans="1:76" ht="6" customHeight="1">
      <c r="A58" s="315"/>
      <c r="B58" s="320"/>
      <c r="C58" s="320"/>
      <c r="D58" s="320"/>
      <c r="E58" s="320"/>
      <c r="F58" s="320"/>
      <c r="G58" s="320"/>
      <c r="H58" s="320"/>
      <c r="I58" s="320"/>
      <c r="J58" s="320"/>
      <c r="K58" s="321"/>
      <c r="N58" s="303"/>
      <c r="O58" s="303"/>
      <c r="P58" s="303"/>
      <c r="Q58" s="303"/>
      <c r="R58" s="303"/>
      <c r="S58" s="303"/>
      <c r="T58" s="303"/>
      <c r="U58" s="308"/>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row>
    <row r="59" spans="1:76" ht="6" customHeight="1">
      <c r="A59" s="315"/>
      <c r="B59" s="316"/>
      <c r="C59" s="316"/>
      <c r="D59" s="316"/>
      <c r="E59" s="316"/>
      <c r="F59" s="316"/>
      <c r="G59" s="316"/>
      <c r="H59" s="316"/>
      <c r="I59" s="316"/>
      <c r="J59" s="316"/>
      <c r="K59" s="317"/>
      <c r="N59" s="303"/>
      <c r="O59" s="303"/>
      <c r="P59" s="303"/>
      <c r="Q59" s="303"/>
      <c r="R59" s="303"/>
      <c r="S59" s="303"/>
      <c r="T59" s="303"/>
      <c r="U59" s="308"/>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row>
    <row r="60" spans="1:76" ht="6" customHeight="1">
      <c r="A60" s="315"/>
      <c r="B60" s="316"/>
      <c r="C60" s="316"/>
      <c r="D60" s="316"/>
      <c r="E60" s="316"/>
      <c r="F60" s="316"/>
      <c r="G60" s="316"/>
      <c r="H60" s="316"/>
      <c r="I60" s="316"/>
      <c r="J60" s="316"/>
      <c r="K60" s="317"/>
      <c r="N60" s="303"/>
      <c r="O60" s="303"/>
      <c r="P60" s="303"/>
      <c r="Q60" s="303"/>
      <c r="R60" s="303"/>
      <c r="S60" s="303"/>
      <c r="T60" s="303"/>
      <c r="U60" s="308"/>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row>
    <row r="61" spans="1:76" ht="6" customHeight="1">
      <c r="A61" s="315"/>
      <c r="B61" s="316"/>
      <c r="C61" s="316"/>
      <c r="D61" s="316"/>
      <c r="E61" s="316"/>
      <c r="F61" s="316"/>
      <c r="G61" s="316"/>
      <c r="H61" s="316"/>
      <c r="I61" s="316"/>
      <c r="J61" s="316"/>
      <c r="K61" s="317"/>
      <c r="N61" s="303"/>
      <c r="O61" s="303"/>
      <c r="P61" s="303"/>
      <c r="Q61" s="303"/>
      <c r="R61" s="303"/>
      <c r="S61" s="303"/>
      <c r="T61" s="303"/>
      <c r="U61" s="308"/>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row>
    <row r="62" spans="1:76" ht="14.5" customHeight="1">
      <c r="B62" s="240"/>
      <c r="C62" s="242"/>
      <c r="D62" s="242"/>
      <c r="E62" s="242"/>
      <c r="F62" s="318"/>
      <c r="G62" s="318"/>
      <c r="H62" s="318"/>
      <c r="I62" s="318"/>
      <c r="J62" s="318"/>
      <c r="K62" s="319"/>
      <c r="N62" s="303"/>
      <c r="O62" s="303"/>
      <c r="P62" s="303"/>
      <c r="Q62" s="303"/>
      <c r="R62" s="303"/>
      <c r="S62" s="303"/>
      <c r="T62" s="303"/>
      <c r="U62" s="308"/>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row>
    <row r="63" spans="1:76" ht="14.5" customHeight="1">
      <c r="B63" s="269" t="s">
        <v>343</v>
      </c>
      <c r="C63" s="242"/>
      <c r="D63" s="242"/>
      <c r="E63" s="242"/>
      <c r="F63" s="318"/>
      <c r="G63" s="318"/>
      <c r="H63" s="318"/>
      <c r="I63" s="318"/>
      <c r="J63" s="318"/>
      <c r="K63" s="319"/>
      <c r="N63" s="303"/>
      <c r="O63" s="303"/>
      <c r="P63" s="303"/>
      <c r="Q63" s="303"/>
      <c r="R63" s="303"/>
      <c r="S63" s="303"/>
      <c r="T63" s="303"/>
      <c r="U63" s="308"/>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row>
    <row r="64" spans="1:76" s="271" customFormat="1">
      <c r="A64" s="258"/>
      <c r="B64" s="258"/>
      <c r="C64" s="270"/>
      <c r="D64" s="270"/>
      <c r="E64" s="270"/>
      <c r="F64" s="293"/>
      <c r="G64" s="293"/>
      <c r="H64" s="351"/>
      <c r="I64" s="258"/>
      <c r="J64" s="351"/>
      <c r="K64" s="352"/>
      <c r="L64" s="258"/>
      <c r="N64" s="303"/>
      <c r="O64" s="303"/>
      <c r="P64" s="303"/>
      <c r="Q64" s="303"/>
      <c r="R64" s="303"/>
      <c r="S64" s="303"/>
      <c r="T64" s="303"/>
      <c r="U64" s="303"/>
      <c r="AH64" s="307"/>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row>
    <row r="65" spans="1:76" s="271" customFormat="1" ht="14.5" customHeight="1">
      <c r="A65" s="258"/>
      <c r="B65" s="306" t="s">
        <v>143</v>
      </c>
      <c r="C65" s="481" t="s">
        <v>650</v>
      </c>
      <c r="D65" s="482"/>
      <c r="E65" s="235" t="str">
        <f>IF(C65="-","-",VLOOKUP(C65,'Listas-2'!$B$12:$K$464,6,))</f>
        <v>ml</v>
      </c>
      <c r="F65" s="288">
        <f>IF(C65="-","-",VLOOKUP(C65,'Listas-2'!$B$12:$K$468,3,))</f>
        <v>1</v>
      </c>
      <c r="G65" s="302">
        <f>IF(C65="-","-",IF($G$15="PVP saco palet (€/saco)",VLOOKUP(C65,'Listas-2'!$B$12:$K$468,10,),VLOOKUP(C65,'Listas-2'!$B$12:$K$468,9,)))</f>
        <v>195.24</v>
      </c>
      <c r="H65" s="302">
        <f>IF(C65="-","-",G65/VLOOKUP(C65,'Listas-2'!$B$12:$F$266,5,))</f>
        <v>7.8096000000000005</v>
      </c>
      <c r="I65" s="327"/>
      <c r="J65" s="302">
        <f t="shared" ref="J65:J70" si="4">IF(C65="-","-",(H65-(I65*H65)))</f>
        <v>7.8096000000000005</v>
      </c>
      <c r="K65" s="353">
        <f>IF(C65="Sin perfil de arranque",0,IF(C65="-",0,J65*F65))</f>
        <v>7.8096000000000005</v>
      </c>
      <c r="L65" s="258"/>
      <c r="N65" s="303"/>
      <c r="O65" s="303"/>
      <c r="P65" s="303"/>
      <c r="Q65" s="303"/>
      <c r="R65" s="303"/>
      <c r="S65" s="303"/>
      <c r="T65" s="303"/>
      <c r="U65" s="308"/>
      <c r="AH65" s="307"/>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c r="BU65" s="301"/>
      <c r="BV65" s="301"/>
      <c r="BW65" s="301"/>
      <c r="BX65" s="301"/>
    </row>
    <row r="66" spans="1:76" s="271" customFormat="1">
      <c r="A66" s="258"/>
      <c r="B66" s="306" t="s">
        <v>144</v>
      </c>
      <c r="C66" s="481" t="s">
        <v>98</v>
      </c>
      <c r="D66" s="482"/>
      <c r="E66" s="235" t="str">
        <f>IF(C66="-","-",VLOOKUP(C66,'Listas-2'!$B$12:$K$464,6,))</f>
        <v>-</v>
      </c>
      <c r="F66" s="288" t="str">
        <f>IF(C66="-","-",VLOOKUP(C66,'Listas-2'!$B$12:$K$468,3,))</f>
        <v>-</v>
      </c>
      <c r="G66" s="302" t="str">
        <f>IF(C66="-","-",IF($G$15="PVP saco palet (€/saco)",VLOOKUP(C66,'Listas-2'!$B$12:$K$468,10,),VLOOKUP(C66,'Listas-2'!$B$12:$K$468,9,)))</f>
        <v>-</v>
      </c>
      <c r="H66" s="302" t="str">
        <f>IF(C66="-","-",G66/VLOOKUP(C66,'Listas-2'!$B$12:$F$266,5,))</f>
        <v>-</v>
      </c>
      <c r="I66" s="289"/>
      <c r="J66" s="302" t="str">
        <f t="shared" si="4"/>
        <v>-</v>
      </c>
      <c r="K66" s="353">
        <f t="shared" ref="K66:K70" si="5">IF(C66="Sin perfil de arranque",0,IF(C66="-",0,J66*F66))</f>
        <v>0</v>
      </c>
      <c r="L66" s="258"/>
      <c r="N66" s="303"/>
      <c r="O66" s="303"/>
      <c r="P66" s="303"/>
      <c r="Q66" s="303"/>
      <c r="R66" s="303"/>
      <c r="S66" s="303"/>
      <c r="T66" s="303"/>
      <c r="U66" s="303"/>
      <c r="AH66" s="307"/>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301"/>
      <c r="BW66" s="301"/>
      <c r="BX66" s="301"/>
    </row>
    <row r="67" spans="1:76" s="271" customFormat="1">
      <c r="A67" s="258"/>
      <c r="B67" s="306" t="s">
        <v>145</v>
      </c>
      <c r="C67" s="481" t="s">
        <v>98</v>
      </c>
      <c r="D67" s="482"/>
      <c r="E67" s="235" t="str">
        <f>IF(C67="-","-",VLOOKUP(C67,'Listas-2'!$B$12:$K$464,6,))</f>
        <v>-</v>
      </c>
      <c r="F67" s="288" t="str">
        <f>IF(C67="-","-",VLOOKUP(C67,'Listas-2'!$B$12:$K$468,3,))</f>
        <v>-</v>
      </c>
      <c r="G67" s="302" t="str">
        <f>IF(C67="-","-",IF($G$15="PVP saco palet (€/saco)",VLOOKUP(C67,'Listas-2'!$B$12:$K$468,10,),VLOOKUP(C67,'Listas-2'!$B$12:$K$468,9,)))</f>
        <v>-</v>
      </c>
      <c r="H67" s="302" t="str">
        <f>IF(C67="-","-",G67/VLOOKUP(C67,'Listas-2'!$B$12:$F$266,5,))</f>
        <v>-</v>
      </c>
      <c r="I67" s="289"/>
      <c r="J67" s="302" t="str">
        <f t="shared" si="4"/>
        <v>-</v>
      </c>
      <c r="K67" s="353">
        <f t="shared" si="5"/>
        <v>0</v>
      </c>
      <c r="L67" s="258"/>
      <c r="N67" s="303"/>
      <c r="O67" s="303"/>
      <c r="P67" s="303"/>
      <c r="Q67" s="303"/>
      <c r="R67" s="303"/>
      <c r="S67" s="303"/>
      <c r="T67" s="303"/>
      <c r="U67" s="303"/>
      <c r="AH67" s="307"/>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301"/>
      <c r="BS67" s="301"/>
      <c r="BT67" s="301"/>
      <c r="BU67" s="301"/>
      <c r="BV67" s="301"/>
      <c r="BW67" s="301"/>
      <c r="BX67" s="301"/>
    </row>
    <row r="68" spans="1:76" s="271" customFormat="1">
      <c r="A68" s="258"/>
      <c r="B68" s="306" t="s">
        <v>146</v>
      </c>
      <c r="C68" s="481" t="s">
        <v>98</v>
      </c>
      <c r="D68" s="482"/>
      <c r="E68" s="235" t="str">
        <f>IF(C68="-","-",VLOOKUP(C68,'Listas-2'!$B$12:$K$464,6,))</f>
        <v>-</v>
      </c>
      <c r="F68" s="288" t="str">
        <f>IF(C68="-","-",VLOOKUP(C68,'Listas-2'!$B$12:$K$468,3,))</f>
        <v>-</v>
      </c>
      <c r="G68" s="302" t="str">
        <f>IF(C68="-","-",IF($G$15="PVP saco palet (€/saco)",VLOOKUP(C68,'Listas-2'!$B$12:$K$468,10,),VLOOKUP(C68,'Listas-2'!$B$12:$K$468,9,)))</f>
        <v>-</v>
      </c>
      <c r="H68" s="302" t="str">
        <f>IF(C68="-","-",G68/VLOOKUP(C68,'Listas-2'!$B$12:$F$266,5,))</f>
        <v>-</v>
      </c>
      <c r="I68" s="289"/>
      <c r="J68" s="302" t="str">
        <f t="shared" si="4"/>
        <v>-</v>
      </c>
      <c r="K68" s="353">
        <f t="shared" si="5"/>
        <v>0</v>
      </c>
      <c r="L68" s="258"/>
      <c r="N68" s="303"/>
      <c r="O68" s="303"/>
      <c r="P68" s="303"/>
      <c r="Q68" s="303"/>
      <c r="R68" s="303"/>
      <c r="S68" s="303"/>
      <c r="T68" s="303"/>
      <c r="U68" s="303"/>
      <c r="AH68" s="307"/>
      <c r="AJ68" s="301"/>
      <c r="AK68" s="301"/>
      <c r="AL68" s="301"/>
      <c r="AM68" s="301"/>
      <c r="AN68" s="301"/>
      <c r="AO68" s="301"/>
      <c r="AP68" s="301"/>
      <c r="AQ68" s="301"/>
      <c r="AR68" s="301"/>
      <c r="AS68" s="301"/>
      <c r="AT68" s="301"/>
      <c r="AU68" s="301"/>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c r="BU68" s="301"/>
      <c r="BV68" s="301"/>
      <c r="BW68" s="301"/>
      <c r="BX68" s="301"/>
    </row>
    <row r="69" spans="1:76" s="271" customFormat="1">
      <c r="A69" s="258"/>
      <c r="B69" s="306" t="s">
        <v>315</v>
      </c>
      <c r="C69" s="481" t="s">
        <v>98</v>
      </c>
      <c r="D69" s="482"/>
      <c r="E69" s="235" t="str">
        <f>IF(C69="-","-",VLOOKUP(C69,'Listas-2'!$B$12:$K$464,6,))</f>
        <v>-</v>
      </c>
      <c r="F69" s="288" t="str">
        <f>IF(C69="-","-",VLOOKUP(C69,'Listas-2'!$B$12:$K$468,3,))</f>
        <v>-</v>
      </c>
      <c r="G69" s="302" t="str">
        <f>IF(C69="-","-",IF($G$15="PVP saco palet (€/saco)",VLOOKUP(C69,'Listas-2'!$B$12:$K$468,10,),VLOOKUP(C69,'Listas-2'!$B$12:$K$468,9,)))</f>
        <v>-</v>
      </c>
      <c r="H69" s="302" t="str">
        <f>IF(C69="-","-",G69/VLOOKUP(C69,'Listas-2'!$B$12:$F$266,5,))</f>
        <v>-</v>
      </c>
      <c r="I69" s="289"/>
      <c r="J69" s="302" t="str">
        <f t="shared" si="4"/>
        <v>-</v>
      </c>
      <c r="K69" s="354">
        <f t="shared" si="5"/>
        <v>0</v>
      </c>
      <c r="L69" s="258"/>
      <c r="N69" s="303"/>
      <c r="O69" s="303"/>
      <c r="P69" s="303"/>
      <c r="Q69" s="303"/>
      <c r="R69" s="303"/>
      <c r="S69" s="303"/>
      <c r="T69" s="303"/>
      <c r="U69" s="303"/>
      <c r="AH69" s="307"/>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c r="BU69" s="301"/>
      <c r="BV69" s="301"/>
      <c r="BW69" s="301"/>
      <c r="BX69" s="301"/>
    </row>
    <row r="70" spans="1:76" s="271" customFormat="1">
      <c r="A70" s="258"/>
      <c r="B70" s="306" t="s">
        <v>316</v>
      </c>
      <c r="C70" s="481" t="s">
        <v>98</v>
      </c>
      <c r="D70" s="482"/>
      <c r="E70" s="235" t="str">
        <f>IF(C70="-","-",VLOOKUP(C70,'Listas-2'!$B$12:$K$464,6,))</f>
        <v>-</v>
      </c>
      <c r="F70" s="288" t="str">
        <f>IF(C70="-","-",VLOOKUP(C70,'Listas-2'!$B$12:$K$468,3,))</f>
        <v>-</v>
      </c>
      <c r="G70" s="302" t="str">
        <f>IF(C70="-","-",IF($G$15="PVP saco palet (€/saco)",VLOOKUP(C70,'Listas-2'!$B$12:$K$468,10,),VLOOKUP(C70,'Listas-2'!$B$12:$K$468,9,)))</f>
        <v>-</v>
      </c>
      <c r="H70" s="302" t="str">
        <f>IF(C70="-","-",G70/VLOOKUP(C70,'Listas-2'!$B$12:$F$266,5,))</f>
        <v>-</v>
      </c>
      <c r="I70" s="289"/>
      <c r="J70" s="302" t="str">
        <f t="shared" si="4"/>
        <v>-</v>
      </c>
      <c r="K70" s="353">
        <f t="shared" si="5"/>
        <v>0</v>
      </c>
      <c r="L70" s="258"/>
      <c r="N70" s="303"/>
      <c r="O70" s="303"/>
      <c r="P70" s="303"/>
      <c r="Q70" s="303"/>
      <c r="R70" s="303"/>
      <c r="S70" s="303"/>
      <c r="T70" s="303"/>
      <c r="U70" s="303"/>
      <c r="AH70" s="307"/>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301"/>
      <c r="BP70" s="301"/>
      <c r="BQ70" s="301"/>
      <c r="BR70" s="301"/>
      <c r="BS70" s="301"/>
      <c r="BT70" s="301"/>
      <c r="BU70" s="301"/>
      <c r="BV70" s="301"/>
      <c r="BW70" s="301"/>
      <c r="BX70" s="301"/>
    </row>
    <row r="71" spans="1:76" s="240" customFormat="1" ht="1.9" customHeight="1">
      <c r="E71" s="242"/>
      <c r="F71" s="243"/>
      <c r="G71" s="243"/>
      <c r="K71" s="244"/>
      <c r="M71" s="245"/>
      <c r="N71" s="303"/>
      <c r="O71" s="303"/>
      <c r="P71" s="303"/>
      <c r="Q71" s="303"/>
      <c r="R71" s="303"/>
      <c r="S71" s="303"/>
      <c r="T71" s="303"/>
      <c r="U71" s="303"/>
      <c r="V71" s="245"/>
      <c r="W71" s="245"/>
      <c r="X71" s="245"/>
      <c r="Y71" s="245"/>
      <c r="Z71" s="245"/>
      <c r="AA71" s="245"/>
      <c r="AB71" s="245"/>
      <c r="AC71" s="245"/>
      <c r="AD71" s="245"/>
      <c r="AE71" s="245"/>
      <c r="AF71" s="245"/>
      <c r="AG71" s="245"/>
      <c r="AH71" s="246"/>
      <c r="AI71" s="245"/>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row>
    <row r="72" spans="1:76" s="240" customFormat="1" ht="1.9" customHeight="1">
      <c r="E72" s="242"/>
      <c r="F72" s="243"/>
      <c r="G72" s="243"/>
      <c r="K72" s="244"/>
      <c r="M72" s="245"/>
      <c r="N72" s="303"/>
      <c r="O72" s="303"/>
      <c r="P72" s="303"/>
      <c r="Q72" s="303"/>
      <c r="R72" s="303"/>
      <c r="S72" s="303"/>
      <c r="T72" s="303"/>
      <c r="U72" s="303"/>
      <c r="V72" s="245"/>
      <c r="W72" s="245"/>
      <c r="X72" s="245"/>
      <c r="Y72" s="245"/>
      <c r="Z72" s="245"/>
      <c r="AA72" s="245"/>
      <c r="AB72" s="245"/>
      <c r="AC72" s="245"/>
      <c r="AD72" s="245"/>
      <c r="AE72" s="245"/>
      <c r="AF72" s="245"/>
      <c r="AG72" s="245"/>
      <c r="AH72" s="246"/>
      <c r="AI72" s="245"/>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row>
    <row r="73" spans="1:76" s="240" customFormat="1" ht="1.9" customHeight="1">
      <c r="E73" s="242"/>
      <c r="F73" s="243"/>
      <c r="G73" s="243"/>
      <c r="K73" s="244"/>
      <c r="M73" s="245"/>
      <c r="N73" s="303"/>
      <c r="O73" s="303"/>
      <c r="P73" s="303"/>
      <c r="Q73" s="303"/>
      <c r="R73" s="303"/>
      <c r="S73" s="303"/>
      <c r="T73" s="303"/>
      <c r="U73" s="303"/>
      <c r="V73" s="245"/>
      <c r="W73" s="245"/>
      <c r="X73" s="245"/>
      <c r="Y73" s="245"/>
      <c r="Z73" s="245"/>
      <c r="AA73" s="245"/>
      <c r="AB73" s="245"/>
      <c r="AC73" s="245"/>
      <c r="AD73" s="245"/>
      <c r="AE73" s="245"/>
      <c r="AF73" s="245"/>
      <c r="AG73" s="245"/>
      <c r="AH73" s="246"/>
      <c r="AI73" s="245"/>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row>
    <row r="74" spans="1:76" s="240" customFormat="1" ht="1.9" customHeight="1">
      <c r="E74" s="242"/>
      <c r="F74" s="243"/>
      <c r="G74" s="243"/>
      <c r="K74" s="244"/>
      <c r="M74" s="245"/>
      <c r="N74" s="303"/>
      <c r="O74" s="303"/>
      <c r="P74" s="303"/>
      <c r="Q74" s="303"/>
      <c r="R74" s="303"/>
      <c r="S74" s="303"/>
      <c r="T74" s="303"/>
      <c r="U74" s="303"/>
      <c r="V74" s="245"/>
      <c r="W74" s="245"/>
      <c r="X74" s="245"/>
      <c r="Y74" s="245"/>
      <c r="Z74" s="245"/>
      <c r="AA74" s="245"/>
      <c r="AB74" s="245"/>
      <c r="AC74" s="245"/>
      <c r="AD74" s="245"/>
      <c r="AE74" s="245"/>
      <c r="AF74" s="245"/>
      <c r="AG74" s="245"/>
      <c r="AH74" s="246"/>
      <c r="AI74" s="245"/>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row>
    <row r="75" spans="1:76" s="240" customFormat="1">
      <c r="B75" s="328"/>
      <c r="C75" s="328"/>
      <c r="D75" s="480"/>
      <c r="E75" s="480"/>
      <c r="F75" s="480"/>
      <c r="G75" s="480"/>
      <c r="H75" s="480"/>
      <c r="I75" s="480"/>
      <c r="J75" s="480"/>
      <c r="K75" s="480"/>
      <c r="M75" s="245"/>
      <c r="N75" s="303"/>
      <c r="O75" s="303"/>
      <c r="P75" s="303"/>
      <c r="Q75" s="303"/>
      <c r="R75" s="303"/>
      <c r="S75" s="303"/>
      <c r="T75" s="303"/>
      <c r="U75" s="303"/>
      <c r="V75" s="245"/>
      <c r="W75" s="245"/>
      <c r="X75" s="245"/>
      <c r="Y75" s="245"/>
      <c r="Z75" s="245"/>
      <c r="AA75" s="245"/>
      <c r="AB75" s="245"/>
      <c r="AC75" s="245"/>
      <c r="AD75" s="245"/>
      <c r="AE75" s="245"/>
      <c r="AF75" s="245"/>
      <c r="AG75" s="245"/>
      <c r="AH75" s="246"/>
      <c r="AI75" s="245"/>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row>
    <row r="76" spans="1:76" s="240" customFormat="1">
      <c r="B76" s="328"/>
      <c r="C76" s="328"/>
      <c r="D76" s="480"/>
      <c r="E76" s="480"/>
      <c r="F76" s="480"/>
      <c r="G76" s="480"/>
      <c r="H76" s="480"/>
      <c r="I76" s="480"/>
      <c r="J76" s="480"/>
      <c r="K76" s="480"/>
      <c r="M76" s="245"/>
      <c r="N76" s="303"/>
      <c r="O76" s="303"/>
      <c r="P76" s="303"/>
      <c r="Q76" s="303"/>
      <c r="R76" s="303"/>
      <c r="S76" s="303"/>
      <c r="T76" s="303"/>
      <c r="U76" s="303"/>
      <c r="V76" s="245"/>
      <c r="W76" s="245"/>
      <c r="X76" s="245"/>
      <c r="Y76" s="245"/>
      <c r="Z76" s="245"/>
      <c r="AA76" s="245"/>
      <c r="AB76" s="245"/>
      <c r="AC76" s="245"/>
      <c r="AD76" s="245"/>
      <c r="AE76" s="245"/>
      <c r="AF76" s="245"/>
      <c r="AG76" s="245"/>
      <c r="AH76" s="246"/>
      <c r="AI76" s="245"/>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row>
    <row r="77" spans="1:76" s="271" customFormat="1">
      <c r="A77" s="258"/>
      <c r="B77" s="258"/>
      <c r="C77" s="258"/>
      <c r="D77" s="258"/>
      <c r="E77" s="270"/>
      <c r="F77" s="293"/>
      <c r="G77" s="293"/>
      <c r="H77" s="479"/>
      <c r="I77" s="479"/>
      <c r="J77" s="479"/>
      <c r="K77" s="352"/>
      <c r="L77" s="258"/>
      <c r="N77" s="303"/>
      <c r="O77" s="303"/>
      <c r="P77" s="303"/>
      <c r="Q77" s="303"/>
      <c r="R77" s="303"/>
      <c r="S77" s="303"/>
      <c r="T77" s="303"/>
      <c r="U77" s="303"/>
      <c r="AH77" s="307"/>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301"/>
      <c r="BP77" s="301"/>
      <c r="BQ77" s="301"/>
      <c r="BR77" s="301"/>
      <c r="BS77" s="301"/>
      <c r="BT77" s="301"/>
      <c r="BU77" s="301"/>
      <c r="BV77" s="301"/>
      <c r="BW77" s="301"/>
      <c r="BX77" s="301"/>
    </row>
    <row r="78" spans="1:76" s="240" customFormat="1">
      <c r="B78" s="328"/>
      <c r="C78" s="328"/>
      <c r="D78" s="480"/>
      <c r="E78" s="480"/>
      <c r="F78" s="480"/>
      <c r="G78" s="480"/>
      <c r="H78" s="480"/>
      <c r="I78" s="480"/>
      <c r="J78" s="480"/>
      <c r="K78" s="480"/>
      <c r="M78" s="245"/>
      <c r="N78" s="303"/>
      <c r="O78" s="303"/>
      <c r="P78" s="303"/>
      <c r="Q78" s="303"/>
      <c r="R78" s="303"/>
      <c r="S78" s="303"/>
      <c r="T78" s="303"/>
      <c r="U78" s="303"/>
      <c r="V78" s="245"/>
      <c r="W78" s="245"/>
      <c r="X78" s="245"/>
      <c r="Y78" s="245"/>
      <c r="Z78" s="245"/>
      <c r="AA78" s="245"/>
      <c r="AB78" s="245"/>
      <c r="AC78" s="245"/>
      <c r="AD78" s="245"/>
      <c r="AE78" s="245"/>
      <c r="AF78" s="245"/>
      <c r="AG78" s="245"/>
      <c r="AH78" s="246"/>
      <c r="AI78" s="245"/>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row>
    <row r="79" spans="1:76" s="240" customFormat="1">
      <c r="B79" s="328"/>
      <c r="C79" s="328"/>
      <c r="D79" s="480"/>
      <c r="E79" s="480"/>
      <c r="F79" s="480"/>
      <c r="G79" s="480"/>
      <c r="H79" s="480"/>
      <c r="I79" s="480"/>
      <c r="J79" s="480"/>
      <c r="K79" s="480"/>
      <c r="M79" s="245"/>
      <c r="N79" s="303"/>
      <c r="O79" s="303"/>
      <c r="P79" s="303"/>
      <c r="Q79" s="303"/>
      <c r="R79" s="303"/>
      <c r="S79" s="303"/>
      <c r="T79" s="303"/>
      <c r="U79" s="303"/>
      <c r="V79" s="245"/>
      <c r="W79" s="245"/>
      <c r="X79" s="245"/>
      <c r="Y79" s="245"/>
      <c r="Z79" s="245"/>
      <c r="AA79" s="245"/>
      <c r="AB79" s="245"/>
      <c r="AC79" s="245"/>
      <c r="AD79" s="245"/>
      <c r="AE79" s="245"/>
      <c r="AF79" s="245"/>
      <c r="AG79" s="245"/>
      <c r="AH79" s="246"/>
      <c r="AI79" s="245"/>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row>
    <row r="80" spans="1:76" s="271" customFormat="1">
      <c r="A80" s="258"/>
      <c r="B80" s="258"/>
      <c r="C80" s="258"/>
      <c r="D80" s="258"/>
      <c r="E80" s="270"/>
      <c r="F80" s="293"/>
      <c r="G80" s="293"/>
      <c r="H80" s="479"/>
      <c r="I80" s="479"/>
      <c r="J80" s="479"/>
      <c r="K80" s="352"/>
      <c r="L80" s="258"/>
      <c r="N80" s="303"/>
      <c r="O80" s="303"/>
      <c r="P80" s="303"/>
      <c r="Q80" s="303"/>
      <c r="R80" s="303"/>
      <c r="S80" s="303"/>
      <c r="T80" s="303"/>
      <c r="U80" s="303"/>
      <c r="AH80" s="307"/>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301"/>
      <c r="BP80" s="301"/>
      <c r="BQ80" s="301"/>
      <c r="BR80" s="301"/>
      <c r="BS80" s="301"/>
      <c r="BT80" s="301"/>
      <c r="BU80" s="301"/>
      <c r="BV80" s="301"/>
      <c r="BW80" s="301"/>
      <c r="BX80" s="301"/>
    </row>
    <row r="81" spans="1:76" s="240" customFormat="1">
      <c r="B81" s="328"/>
      <c r="C81" s="328"/>
      <c r="D81" s="480"/>
      <c r="E81" s="480"/>
      <c r="F81" s="480"/>
      <c r="G81" s="480"/>
      <c r="H81" s="480"/>
      <c r="I81" s="480"/>
      <c r="J81" s="480"/>
      <c r="K81" s="480"/>
      <c r="M81" s="245"/>
      <c r="N81" s="303"/>
      <c r="O81" s="303"/>
      <c r="P81" s="303"/>
      <c r="Q81" s="303"/>
      <c r="R81" s="303"/>
      <c r="S81" s="303"/>
      <c r="T81" s="303"/>
      <c r="U81" s="303"/>
      <c r="V81" s="245"/>
      <c r="W81" s="245"/>
      <c r="X81" s="245"/>
      <c r="Y81" s="245"/>
      <c r="Z81" s="245"/>
      <c r="AA81" s="245"/>
      <c r="AB81" s="245"/>
      <c r="AC81" s="245"/>
      <c r="AD81" s="245"/>
      <c r="AE81" s="245"/>
      <c r="AF81" s="245"/>
      <c r="AG81" s="245"/>
      <c r="AH81" s="246"/>
      <c r="AI81" s="245"/>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row>
    <row r="82" spans="1:76" s="240" customFormat="1">
      <c r="B82" s="328"/>
      <c r="C82" s="328"/>
      <c r="D82" s="480"/>
      <c r="E82" s="480"/>
      <c r="F82" s="480"/>
      <c r="G82" s="480"/>
      <c r="H82" s="480"/>
      <c r="I82" s="480"/>
      <c r="J82" s="480"/>
      <c r="K82" s="480"/>
      <c r="M82" s="245"/>
      <c r="N82" s="303"/>
      <c r="O82" s="303"/>
      <c r="P82" s="303"/>
      <c r="Q82" s="303"/>
      <c r="R82" s="303"/>
      <c r="S82" s="303"/>
      <c r="T82" s="303"/>
      <c r="U82" s="303"/>
      <c r="V82" s="245"/>
      <c r="W82" s="245"/>
      <c r="X82" s="245"/>
      <c r="Y82" s="245"/>
      <c r="Z82" s="245"/>
      <c r="AA82" s="245"/>
      <c r="AB82" s="245"/>
      <c r="AC82" s="245"/>
      <c r="AD82" s="245"/>
      <c r="AE82" s="245"/>
      <c r="AF82" s="245"/>
      <c r="AG82" s="245"/>
      <c r="AH82" s="246"/>
      <c r="AI82" s="245"/>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row>
    <row r="83" spans="1:76" s="271" customFormat="1">
      <c r="A83" s="258"/>
      <c r="B83" s="258"/>
      <c r="C83" s="258"/>
      <c r="D83" s="258"/>
      <c r="E83" s="270"/>
      <c r="F83" s="293"/>
      <c r="G83" s="293"/>
      <c r="H83" s="479"/>
      <c r="I83" s="479"/>
      <c r="J83" s="479"/>
      <c r="K83" s="352"/>
      <c r="L83" s="258"/>
      <c r="N83" s="303"/>
      <c r="O83" s="303"/>
      <c r="P83" s="303"/>
      <c r="Q83" s="303"/>
      <c r="R83" s="303"/>
      <c r="S83" s="303"/>
      <c r="T83" s="303"/>
      <c r="U83" s="303"/>
      <c r="AH83" s="307"/>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301"/>
      <c r="BS83" s="301"/>
      <c r="BT83" s="301"/>
      <c r="BU83" s="301"/>
      <c r="BV83" s="301"/>
      <c r="BW83" s="301"/>
      <c r="BX83" s="301"/>
    </row>
    <row r="84" spans="1:76" s="240" customFormat="1" ht="1.9" customHeight="1">
      <c r="E84" s="242"/>
      <c r="F84" s="243"/>
      <c r="G84" s="243"/>
      <c r="K84" s="244"/>
      <c r="M84" s="245"/>
      <c r="N84" s="303"/>
      <c r="O84" s="303"/>
      <c r="P84" s="303"/>
      <c r="Q84" s="303"/>
      <c r="R84" s="303"/>
      <c r="S84" s="303"/>
      <c r="T84" s="303"/>
      <c r="U84" s="303"/>
      <c r="V84" s="245"/>
      <c r="W84" s="245"/>
      <c r="X84" s="245"/>
      <c r="Y84" s="245"/>
      <c r="Z84" s="245"/>
      <c r="AA84" s="245"/>
      <c r="AB84" s="245"/>
      <c r="AC84" s="245"/>
      <c r="AD84" s="245"/>
      <c r="AE84" s="245"/>
      <c r="AF84" s="245"/>
      <c r="AG84" s="245"/>
      <c r="AH84" s="246"/>
      <c r="AI84" s="245"/>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row>
    <row r="85" spans="1:76" s="240" customFormat="1" ht="1.9" customHeight="1">
      <c r="E85" s="242"/>
      <c r="F85" s="243"/>
      <c r="G85" s="243"/>
      <c r="K85" s="244"/>
      <c r="M85" s="245"/>
      <c r="N85" s="303"/>
      <c r="O85" s="303"/>
      <c r="P85" s="303"/>
      <c r="Q85" s="303"/>
      <c r="R85" s="303"/>
      <c r="S85" s="303"/>
      <c r="T85" s="303"/>
      <c r="U85" s="303"/>
      <c r="V85" s="245"/>
      <c r="W85" s="245"/>
      <c r="X85" s="245"/>
      <c r="Y85" s="245"/>
      <c r="Z85" s="245"/>
      <c r="AA85" s="245"/>
      <c r="AB85" s="245"/>
      <c r="AC85" s="245"/>
      <c r="AD85" s="245"/>
      <c r="AE85" s="245"/>
      <c r="AF85" s="245"/>
      <c r="AG85" s="245"/>
      <c r="AH85" s="246"/>
      <c r="AI85" s="245"/>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row>
    <row r="86" spans="1:76" s="240" customFormat="1" ht="1.9" customHeight="1">
      <c r="E86" s="242"/>
      <c r="F86" s="243"/>
      <c r="G86" s="243"/>
      <c r="K86" s="244"/>
      <c r="M86" s="245"/>
      <c r="N86" s="303"/>
      <c r="O86" s="303"/>
      <c r="P86" s="303"/>
      <c r="Q86" s="303"/>
      <c r="R86" s="303"/>
      <c r="S86" s="303"/>
      <c r="T86" s="303"/>
      <c r="U86" s="303"/>
      <c r="V86" s="245"/>
      <c r="W86" s="245"/>
      <c r="X86" s="245"/>
      <c r="Y86" s="245"/>
      <c r="Z86" s="245"/>
      <c r="AA86" s="245"/>
      <c r="AB86" s="245"/>
      <c r="AC86" s="245"/>
      <c r="AD86" s="245"/>
      <c r="AE86" s="245"/>
      <c r="AF86" s="245"/>
      <c r="AG86" s="245"/>
      <c r="AH86" s="246"/>
      <c r="AI86" s="245"/>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row>
    <row r="87" spans="1:76" s="240" customFormat="1" ht="1.9" customHeight="1">
      <c r="E87" s="242"/>
      <c r="F87" s="243"/>
      <c r="G87" s="243"/>
      <c r="K87" s="244"/>
      <c r="M87" s="245"/>
      <c r="N87" s="303"/>
      <c r="O87" s="303"/>
      <c r="P87" s="303"/>
      <c r="Q87" s="303"/>
      <c r="R87" s="303"/>
      <c r="S87" s="303"/>
      <c r="T87" s="303"/>
      <c r="U87" s="303"/>
      <c r="V87" s="245"/>
      <c r="W87" s="245"/>
      <c r="X87" s="245"/>
      <c r="Y87" s="245"/>
      <c r="Z87" s="245"/>
      <c r="AA87" s="245"/>
      <c r="AB87" s="245"/>
      <c r="AC87" s="245"/>
      <c r="AD87" s="245"/>
      <c r="AE87" s="245"/>
      <c r="AF87" s="245"/>
      <c r="AG87" s="245"/>
      <c r="AH87" s="246"/>
      <c r="AI87" s="245"/>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row>
    <row r="88" spans="1:76" s="240" customFormat="1">
      <c r="B88" s="328"/>
      <c r="C88" s="328"/>
      <c r="D88" s="480"/>
      <c r="E88" s="480"/>
      <c r="F88" s="480"/>
      <c r="G88" s="480"/>
      <c r="H88" s="480"/>
      <c r="I88" s="480"/>
      <c r="J88" s="480"/>
      <c r="K88" s="480"/>
      <c r="M88" s="245"/>
      <c r="N88" s="303"/>
      <c r="O88" s="303"/>
      <c r="P88" s="303"/>
      <c r="Q88" s="303"/>
      <c r="R88" s="303"/>
      <c r="S88" s="303"/>
      <c r="T88" s="303"/>
      <c r="U88" s="303"/>
      <c r="V88" s="245"/>
      <c r="W88" s="245"/>
      <c r="X88" s="245"/>
      <c r="Y88" s="245"/>
      <c r="Z88" s="245"/>
      <c r="AA88" s="245"/>
      <c r="AB88" s="245"/>
      <c r="AC88" s="245"/>
      <c r="AD88" s="245"/>
      <c r="AE88" s="245"/>
      <c r="AF88" s="245"/>
      <c r="AG88" s="245"/>
      <c r="AH88" s="246"/>
      <c r="AI88" s="245"/>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row>
    <row r="89" spans="1:76" s="240" customFormat="1">
      <c r="B89" s="328"/>
      <c r="C89" s="328"/>
      <c r="D89" s="480"/>
      <c r="E89" s="480"/>
      <c r="F89" s="480"/>
      <c r="G89" s="480"/>
      <c r="H89" s="480"/>
      <c r="I89" s="480"/>
      <c r="J89" s="480"/>
      <c r="K89" s="480"/>
      <c r="M89" s="245"/>
      <c r="N89" s="303"/>
      <c r="O89" s="303"/>
      <c r="P89" s="303"/>
      <c r="Q89" s="303"/>
      <c r="R89" s="303"/>
      <c r="S89" s="303"/>
      <c r="T89" s="303"/>
      <c r="U89" s="303"/>
      <c r="V89" s="245"/>
      <c r="W89" s="245"/>
      <c r="X89" s="245"/>
      <c r="Y89" s="245"/>
      <c r="Z89" s="245"/>
      <c r="AA89" s="245"/>
      <c r="AB89" s="245"/>
      <c r="AC89" s="245"/>
      <c r="AD89" s="245"/>
      <c r="AE89" s="245"/>
      <c r="AF89" s="245"/>
      <c r="AG89" s="245"/>
      <c r="AH89" s="246"/>
      <c r="AI89" s="245"/>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row>
    <row r="90" spans="1:76" s="240" customFormat="1" ht="3.65" customHeight="1">
      <c r="B90" s="355"/>
      <c r="C90" s="355"/>
      <c r="D90" s="355"/>
      <c r="E90" s="356"/>
      <c r="F90" s="357"/>
      <c r="G90" s="357"/>
      <c r="H90" s="355"/>
      <c r="I90" s="355"/>
      <c r="J90" s="355"/>
      <c r="K90" s="358"/>
      <c r="M90" s="245"/>
      <c r="N90" s="303"/>
      <c r="O90" s="303"/>
      <c r="P90" s="303"/>
      <c r="Q90" s="303"/>
      <c r="R90" s="303"/>
      <c r="S90" s="303"/>
      <c r="T90" s="303"/>
      <c r="U90" s="303"/>
      <c r="V90" s="245"/>
      <c r="W90" s="245"/>
      <c r="X90" s="245"/>
      <c r="Y90" s="245"/>
      <c r="Z90" s="245"/>
      <c r="AA90" s="245"/>
      <c r="AB90" s="245"/>
      <c r="AC90" s="245"/>
      <c r="AD90" s="245"/>
      <c r="AE90" s="245"/>
      <c r="AF90" s="245"/>
      <c r="AG90" s="245"/>
      <c r="AH90" s="246"/>
      <c r="AI90" s="245"/>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row>
    <row r="91" spans="1:76" s="240" customFormat="1">
      <c r="B91" s="484" t="s">
        <v>307</v>
      </c>
      <c r="C91" s="484"/>
      <c r="D91" s="484"/>
      <c r="E91" s="484"/>
      <c r="F91" s="484"/>
      <c r="G91" s="484"/>
      <c r="H91" s="484"/>
      <c r="I91" s="484"/>
      <c r="J91" s="484"/>
      <c r="K91" s="484"/>
      <c r="M91" s="245"/>
      <c r="N91" s="303"/>
      <c r="O91" s="303"/>
      <c r="P91" s="303"/>
      <c r="Q91" s="303"/>
      <c r="R91" s="303"/>
      <c r="S91" s="303"/>
      <c r="T91" s="303"/>
      <c r="U91" s="303"/>
      <c r="V91" s="245"/>
      <c r="W91" s="245"/>
      <c r="X91" s="245"/>
      <c r="Y91" s="245"/>
      <c r="Z91" s="245"/>
      <c r="AA91" s="245"/>
      <c r="AB91" s="245"/>
      <c r="AC91" s="245"/>
      <c r="AD91" s="245"/>
      <c r="AE91" s="245"/>
      <c r="AF91" s="245"/>
      <c r="AG91" s="245"/>
      <c r="AH91" s="246"/>
      <c r="AI91" s="245"/>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row>
    <row r="92" spans="1:76" s="240" customFormat="1" ht="13.9" customHeight="1">
      <c r="B92" s="484"/>
      <c r="C92" s="484"/>
      <c r="D92" s="484"/>
      <c r="E92" s="484"/>
      <c r="F92" s="484"/>
      <c r="G92" s="484"/>
      <c r="H92" s="484"/>
      <c r="I92" s="484"/>
      <c r="J92" s="484"/>
      <c r="K92" s="484"/>
      <c r="M92" s="245"/>
      <c r="N92" s="303"/>
      <c r="O92" s="303"/>
      <c r="P92" s="303"/>
      <c r="Q92" s="303"/>
      <c r="R92" s="303"/>
      <c r="S92" s="303"/>
      <c r="T92" s="303"/>
      <c r="U92" s="303"/>
      <c r="V92" s="245"/>
      <c r="W92" s="245"/>
      <c r="X92" s="245"/>
      <c r="Y92" s="245"/>
      <c r="Z92" s="245"/>
      <c r="AA92" s="245"/>
      <c r="AB92" s="245"/>
      <c r="AC92" s="245"/>
      <c r="AD92" s="245"/>
      <c r="AE92" s="245"/>
      <c r="AF92" s="245"/>
      <c r="AG92" s="245"/>
      <c r="AH92" s="246"/>
      <c r="AI92" s="245"/>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row>
    <row r="93" spans="1:76" ht="30.65" customHeight="1">
      <c r="B93" s="484"/>
      <c r="C93" s="484"/>
      <c r="D93" s="484"/>
      <c r="E93" s="484"/>
      <c r="F93" s="484"/>
      <c r="G93" s="484"/>
      <c r="H93" s="484"/>
      <c r="I93" s="484"/>
      <c r="J93" s="484"/>
      <c r="K93" s="484"/>
      <c r="N93" s="303"/>
      <c r="O93" s="303"/>
      <c r="P93" s="303"/>
      <c r="Q93" s="303"/>
      <c r="R93" s="303"/>
      <c r="S93" s="303"/>
      <c r="T93" s="303"/>
      <c r="U93" s="303"/>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row>
    <row r="94" spans="1:76" ht="1.9" hidden="1" customHeight="1">
      <c r="B94" s="484"/>
      <c r="C94" s="484"/>
      <c r="D94" s="484"/>
      <c r="E94" s="484"/>
      <c r="F94" s="484"/>
      <c r="G94" s="484"/>
      <c r="H94" s="484"/>
      <c r="I94" s="484"/>
      <c r="J94" s="484"/>
      <c r="K94" s="484"/>
      <c r="N94" s="303"/>
      <c r="O94" s="303"/>
      <c r="P94" s="303"/>
      <c r="Q94" s="303"/>
      <c r="R94" s="303"/>
      <c r="S94" s="303"/>
      <c r="T94" s="303"/>
      <c r="U94" s="303"/>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row>
    <row r="95" spans="1:76">
      <c r="A95" s="245"/>
      <c r="B95" s="245"/>
      <c r="C95" s="245"/>
      <c r="D95" s="245"/>
      <c r="E95" s="246"/>
      <c r="F95" s="359"/>
      <c r="G95" s="359"/>
      <c r="H95" s="245"/>
      <c r="I95" s="245"/>
      <c r="J95" s="245"/>
      <c r="K95" s="360"/>
      <c r="L95" s="245"/>
      <c r="N95" s="303"/>
      <c r="O95" s="303"/>
      <c r="P95" s="303"/>
      <c r="Q95" s="303"/>
      <c r="R95" s="303"/>
      <c r="S95" s="303"/>
      <c r="T95" s="303"/>
      <c r="U95" s="303"/>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row>
    <row r="96" spans="1:76" ht="15.5">
      <c r="B96" s="241"/>
      <c r="C96" s="240"/>
      <c r="D96" s="240"/>
      <c r="E96" s="242"/>
      <c r="F96" s="243"/>
      <c r="G96" s="243"/>
      <c r="H96" s="240"/>
      <c r="I96" s="240"/>
      <c r="J96" s="240"/>
      <c r="K96" s="244"/>
      <c r="N96" s="303"/>
      <c r="O96" s="303"/>
      <c r="P96" s="303"/>
      <c r="Q96" s="303"/>
      <c r="R96" s="303"/>
      <c r="S96" s="303"/>
      <c r="T96" s="303"/>
      <c r="U96" s="303"/>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row>
    <row r="97" spans="1:76">
      <c r="B97" s="240"/>
      <c r="C97" s="240"/>
      <c r="D97" s="240"/>
      <c r="E97" s="242"/>
      <c r="F97" s="243"/>
      <c r="G97" s="243"/>
      <c r="H97" s="240"/>
      <c r="I97" s="240"/>
      <c r="J97" s="240"/>
      <c r="K97" s="244"/>
      <c r="N97" s="303"/>
      <c r="O97" s="303"/>
      <c r="P97" s="303"/>
      <c r="Q97" s="303"/>
      <c r="R97" s="303"/>
      <c r="S97" s="303"/>
      <c r="T97" s="303"/>
      <c r="U97" s="303"/>
      <c r="AJ97" s="324"/>
      <c r="AK97" s="324"/>
      <c r="AL97" s="324"/>
      <c r="AM97" s="324"/>
      <c r="AN97" s="324"/>
      <c r="AO97" s="324"/>
      <c r="AP97" s="324"/>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row>
    <row r="98" spans="1:76">
      <c r="B98" s="247" t="s">
        <v>117</v>
      </c>
      <c r="C98" s="467">
        <f ca="1">TODAY()</f>
        <v>45701</v>
      </c>
      <c r="D98" s="467"/>
      <c r="E98" s="248"/>
      <c r="F98" s="249"/>
      <c r="G98" s="249"/>
      <c r="H98" s="248"/>
      <c r="I98" s="248"/>
      <c r="J98" s="248"/>
      <c r="K98" s="244"/>
      <c r="N98" s="303"/>
      <c r="O98" s="303"/>
      <c r="P98" s="303"/>
      <c r="Q98" s="303"/>
      <c r="R98" s="303"/>
      <c r="S98" s="303"/>
      <c r="T98" s="303"/>
      <c r="U98" s="303"/>
    </row>
    <row r="99" spans="1:76">
      <c r="B99" s="247" t="s">
        <v>118</v>
      </c>
      <c r="C99" s="468">
        <f>C4</f>
        <v>0</v>
      </c>
      <c r="D99" s="468"/>
      <c r="E99" s="248"/>
      <c r="F99" s="249"/>
      <c r="G99" s="249"/>
      <c r="H99" s="248"/>
      <c r="I99" s="248"/>
      <c r="J99" s="248"/>
      <c r="K99" s="244"/>
      <c r="N99" s="303"/>
      <c r="O99" s="303"/>
      <c r="P99" s="303"/>
      <c r="Q99" s="303"/>
      <c r="R99" s="303"/>
      <c r="S99" s="303"/>
      <c r="T99" s="303"/>
      <c r="U99" s="303"/>
    </row>
    <row r="100" spans="1:76">
      <c r="B100" s="247" t="s">
        <v>119</v>
      </c>
      <c r="C100" s="468">
        <f>C5</f>
        <v>0</v>
      </c>
      <c r="D100" s="468"/>
      <c r="E100" s="248"/>
      <c r="F100" s="249"/>
      <c r="G100" s="249"/>
      <c r="H100" s="248"/>
      <c r="I100" s="248"/>
      <c r="J100" s="248"/>
      <c r="K100" s="244"/>
      <c r="N100" s="303"/>
      <c r="O100" s="303"/>
      <c r="P100" s="303"/>
      <c r="Q100" s="303"/>
      <c r="R100" s="303"/>
      <c r="S100" s="303"/>
      <c r="T100" s="303"/>
      <c r="U100" s="303"/>
    </row>
    <row r="101" spans="1:76">
      <c r="B101" s="254" t="s">
        <v>120</v>
      </c>
      <c r="C101" s="469">
        <f>C6</f>
        <v>0</v>
      </c>
      <c r="D101" s="469"/>
      <c r="E101" s="469"/>
      <c r="F101" s="469"/>
      <c r="G101" s="255"/>
      <c r="H101" s="256"/>
      <c r="I101" s="256"/>
      <c r="J101" s="256"/>
      <c r="K101" s="244"/>
      <c r="N101" s="361"/>
      <c r="O101" s="361"/>
      <c r="P101" s="361"/>
      <c r="Q101" s="361"/>
      <c r="R101" s="361"/>
      <c r="S101" s="361"/>
      <c r="T101" s="361"/>
      <c r="U101" s="361"/>
      <c r="V101" s="324"/>
    </row>
    <row r="102" spans="1:76">
      <c r="B102" s="257"/>
      <c r="C102" s="255"/>
      <c r="D102" s="255"/>
      <c r="E102" s="255"/>
      <c r="F102" s="255"/>
      <c r="G102" s="255"/>
      <c r="H102" s="256"/>
      <c r="I102" s="256"/>
      <c r="J102" s="256"/>
      <c r="K102" s="244"/>
      <c r="N102" s="361"/>
      <c r="O102" s="361"/>
      <c r="P102" s="361"/>
      <c r="Q102" s="361"/>
      <c r="R102" s="361"/>
      <c r="S102" s="361"/>
      <c r="T102" s="361"/>
      <c r="U102" s="361"/>
      <c r="V102" s="324"/>
    </row>
    <row r="103" spans="1:76">
      <c r="B103" s="258"/>
      <c r="C103" s="256"/>
      <c r="D103" s="256"/>
      <c r="E103" s="256"/>
      <c r="F103" s="259"/>
      <c r="G103" s="259"/>
      <c r="H103" s="256"/>
      <c r="I103" s="240"/>
      <c r="J103" s="240"/>
      <c r="K103" s="244"/>
      <c r="N103" s="361"/>
      <c r="O103" s="361"/>
      <c r="P103" s="361"/>
      <c r="Q103" s="361"/>
      <c r="R103" s="361"/>
      <c r="S103" s="361"/>
      <c r="T103" s="361"/>
      <c r="U103" s="361"/>
      <c r="V103" s="324"/>
    </row>
    <row r="104" spans="1:76" ht="18">
      <c r="B104" s="494" t="s">
        <v>160</v>
      </c>
      <c r="C104" s="494"/>
      <c r="D104" s="494"/>
      <c r="E104" s="494"/>
      <c r="F104" s="494"/>
      <c r="G104" s="494"/>
      <c r="H104" s="494"/>
      <c r="I104" s="494"/>
      <c r="J104" s="494"/>
      <c r="K104" s="494"/>
      <c r="N104" s="362"/>
      <c r="O104" s="361"/>
      <c r="P104" s="361"/>
      <c r="Q104" s="363"/>
      <c r="R104" s="361"/>
      <c r="S104" s="361"/>
      <c r="T104" s="361"/>
      <c r="U104" s="361"/>
      <c r="V104" s="324"/>
    </row>
    <row r="105" spans="1:76" ht="15.5">
      <c r="B105" s="261"/>
      <c r="C105" s="261"/>
      <c r="D105" s="261"/>
      <c r="E105" s="261"/>
      <c r="F105" s="261"/>
      <c r="G105" s="261"/>
      <c r="H105" s="261"/>
      <c r="I105" s="261"/>
      <c r="J105" s="261"/>
      <c r="K105" s="262"/>
      <c r="N105" s="362"/>
      <c r="O105" s="361"/>
      <c r="P105" s="361"/>
      <c r="Q105" s="363"/>
      <c r="R105" s="361"/>
      <c r="S105" s="361"/>
      <c r="T105" s="361"/>
      <c r="U105" s="361"/>
      <c r="V105" s="324"/>
    </row>
    <row r="106" spans="1:76" ht="15" customHeight="1">
      <c r="A106" s="280"/>
      <c r="B106" s="364" t="s">
        <v>344</v>
      </c>
      <c r="C106" s="365"/>
      <c r="D106" s="495" t="e">
        <f>CONCATENATE(U6,U13,U15,U17,U19,U21,U23,EXTRA!B2)</f>
        <v>#N/A</v>
      </c>
      <c r="E106" s="495"/>
      <c r="F106" s="495"/>
      <c r="G106" s="495"/>
      <c r="H106" s="495"/>
      <c r="I106" s="495"/>
      <c r="J106" s="495"/>
      <c r="K106" s="495"/>
      <c r="L106" s="280"/>
      <c r="N106" s="361"/>
      <c r="O106" s="361"/>
      <c r="P106" s="361"/>
      <c r="Q106" s="361"/>
      <c r="R106" s="361"/>
      <c r="S106" s="361"/>
      <c r="T106" s="361"/>
      <c r="U106" s="361"/>
      <c r="V106" s="324"/>
    </row>
    <row r="107" spans="1:76">
      <c r="B107" s="258"/>
      <c r="C107" s="256"/>
      <c r="D107" s="495"/>
      <c r="E107" s="495"/>
      <c r="F107" s="495"/>
      <c r="G107" s="495"/>
      <c r="H107" s="495"/>
      <c r="I107" s="495"/>
      <c r="J107" s="495"/>
      <c r="K107" s="495"/>
      <c r="N107" s="361"/>
      <c r="O107" s="361"/>
      <c r="P107" s="361"/>
      <c r="Q107" s="361"/>
      <c r="R107" s="361"/>
      <c r="S107" s="361"/>
      <c r="T107" s="361"/>
      <c r="U107" s="361"/>
      <c r="V107" s="324"/>
    </row>
    <row r="108" spans="1:76">
      <c r="B108" s="258"/>
      <c r="C108" s="256"/>
      <c r="D108" s="495"/>
      <c r="E108" s="495"/>
      <c r="F108" s="495"/>
      <c r="G108" s="495"/>
      <c r="H108" s="495"/>
      <c r="I108" s="495"/>
      <c r="J108" s="495"/>
      <c r="K108" s="495"/>
      <c r="N108" s="361"/>
      <c r="O108" s="361"/>
      <c r="P108" s="361"/>
      <c r="Q108" s="361"/>
      <c r="R108" s="361"/>
      <c r="S108" s="361"/>
      <c r="T108" s="361"/>
      <c r="U108" s="361"/>
      <c r="V108" s="324"/>
    </row>
    <row r="109" spans="1:76">
      <c r="B109" s="258"/>
      <c r="C109" s="256"/>
      <c r="D109" s="495"/>
      <c r="E109" s="495"/>
      <c r="F109" s="495"/>
      <c r="G109" s="495"/>
      <c r="H109" s="495"/>
      <c r="I109" s="495"/>
      <c r="J109" s="495"/>
      <c r="K109" s="495"/>
      <c r="N109" s="361"/>
      <c r="O109" s="361"/>
      <c r="P109" s="361"/>
      <c r="Q109" s="361"/>
      <c r="R109" s="361"/>
      <c r="S109" s="361"/>
      <c r="T109" s="361"/>
      <c r="U109" s="361"/>
      <c r="V109" s="324"/>
    </row>
    <row r="110" spans="1:76">
      <c r="B110" s="478"/>
      <c r="C110" s="256"/>
      <c r="D110" s="495"/>
      <c r="E110" s="495"/>
      <c r="F110" s="495"/>
      <c r="G110" s="495"/>
      <c r="H110" s="495"/>
      <c r="I110" s="495"/>
      <c r="J110" s="495"/>
      <c r="K110" s="495"/>
      <c r="N110" s="361"/>
      <c r="O110" s="361"/>
      <c r="P110" s="361"/>
      <c r="Q110" s="361"/>
      <c r="R110" s="361"/>
      <c r="S110" s="361"/>
      <c r="T110" s="361"/>
      <c r="U110" s="361"/>
      <c r="V110" s="324"/>
    </row>
    <row r="111" spans="1:76">
      <c r="B111" s="478"/>
      <c r="C111" s="256"/>
      <c r="D111" s="495"/>
      <c r="E111" s="495"/>
      <c r="F111" s="495"/>
      <c r="G111" s="495"/>
      <c r="H111" s="495"/>
      <c r="I111" s="495"/>
      <c r="J111" s="495"/>
      <c r="K111" s="495"/>
      <c r="N111" s="361"/>
      <c r="O111" s="361"/>
      <c r="P111" s="361"/>
      <c r="Q111" s="361"/>
      <c r="R111" s="361"/>
      <c r="S111" s="361"/>
      <c r="T111" s="361"/>
      <c r="U111" s="361"/>
      <c r="V111" s="324"/>
    </row>
    <row r="112" spans="1:76">
      <c r="B112" s="478"/>
      <c r="C112" s="256"/>
      <c r="D112" s="495"/>
      <c r="E112" s="495"/>
      <c r="F112" s="495"/>
      <c r="G112" s="495"/>
      <c r="H112" s="495"/>
      <c r="I112" s="495"/>
      <c r="J112" s="495"/>
      <c r="K112" s="495"/>
      <c r="N112" s="361"/>
      <c r="O112" s="361"/>
      <c r="P112" s="361"/>
      <c r="Q112" s="361"/>
      <c r="R112" s="361"/>
      <c r="S112" s="361"/>
      <c r="T112" s="361"/>
      <c r="U112" s="361"/>
      <c r="V112" s="324"/>
    </row>
    <row r="113" spans="1:22">
      <c r="B113" s="478"/>
      <c r="C113" s="256"/>
      <c r="D113" s="495"/>
      <c r="E113" s="495"/>
      <c r="F113" s="495"/>
      <c r="G113" s="495"/>
      <c r="H113" s="495"/>
      <c r="I113" s="495"/>
      <c r="J113" s="495"/>
      <c r="K113" s="495"/>
      <c r="N113" s="361"/>
      <c r="O113" s="361"/>
      <c r="P113" s="361"/>
      <c r="Q113" s="361"/>
      <c r="R113" s="361"/>
      <c r="S113" s="361"/>
      <c r="T113" s="361"/>
      <c r="U113" s="361"/>
      <c r="V113" s="324"/>
    </row>
    <row r="114" spans="1:22">
      <c r="B114" s="292"/>
      <c r="C114" s="270"/>
      <c r="D114" s="495"/>
      <c r="E114" s="495"/>
      <c r="F114" s="495"/>
      <c r="G114" s="495"/>
      <c r="H114" s="495"/>
      <c r="I114" s="495"/>
      <c r="J114" s="495"/>
      <c r="K114" s="495"/>
      <c r="N114" s="361"/>
      <c r="O114" s="361"/>
      <c r="P114" s="361"/>
      <c r="Q114" s="361"/>
      <c r="R114" s="361"/>
      <c r="S114" s="361"/>
      <c r="T114" s="361"/>
      <c r="U114" s="361"/>
      <c r="V114" s="324"/>
    </row>
    <row r="115" spans="1:22">
      <c r="B115" s="270"/>
      <c r="C115" s="256"/>
      <c r="D115" s="495"/>
      <c r="E115" s="495"/>
      <c r="F115" s="495"/>
      <c r="G115" s="495"/>
      <c r="H115" s="495"/>
      <c r="I115" s="495"/>
      <c r="J115" s="495"/>
      <c r="K115" s="495"/>
      <c r="N115" s="303"/>
      <c r="O115" s="303"/>
      <c r="P115" s="303"/>
      <c r="Q115" s="303"/>
      <c r="R115" s="303"/>
      <c r="S115" s="303"/>
      <c r="T115" s="303"/>
      <c r="U115" s="303"/>
    </row>
    <row r="116" spans="1:22">
      <c r="B116" s="258"/>
      <c r="C116" s="256"/>
      <c r="D116" s="495"/>
      <c r="E116" s="495"/>
      <c r="F116" s="495"/>
      <c r="G116" s="495"/>
      <c r="H116" s="495"/>
      <c r="I116" s="495"/>
      <c r="J116" s="495"/>
      <c r="K116" s="495"/>
      <c r="N116" s="303"/>
      <c r="O116" s="303"/>
      <c r="P116" s="303"/>
      <c r="Q116" s="303"/>
      <c r="R116" s="303"/>
      <c r="S116" s="303"/>
      <c r="T116" s="303"/>
      <c r="U116" s="303"/>
    </row>
    <row r="117" spans="1:22">
      <c r="B117" s="258"/>
      <c r="C117" s="256"/>
      <c r="D117" s="495"/>
      <c r="E117" s="495"/>
      <c r="F117" s="495"/>
      <c r="G117" s="495"/>
      <c r="H117" s="495"/>
      <c r="I117" s="495"/>
      <c r="J117" s="495"/>
      <c r="K117" s="495"/>
      <c r="N117" s="303"/>
      <c r="O117" s="303"/>
      <c r="P117" s="303"/>
      <c r="Q117" s="303"/>
      <c r="R117" s="303"/>
      <c r="S117" s="303"/>
      <c r="T117" s="303"/>
      <c r="U117" s="303"/>
    </row>
    <row r="118" spans="1:22">
      <c r="B118" s="258"/>
      <c r="C118" s="258"/>
      <c r="D118" s="495"/>
      <c r="E118" s="495"/>
      <c r="F118" s="495"/>
      <c r="G118" s="495"/>
      <c r="H118" s="495"/>
      <c r="I118" s="495"/>
      <c r="J118" s="495"/>
      <c r="K118" s="495"/>
      <c r="N118" s="303"/>
      <c r="O118" s="303"/>
      <c r="P118" s="303"/>
      <c r="Q118" s="303"/>
      <c r="R118" s="303"/>
      <c r="S118" s="303"/>
      <c r="T118" s="303"/>
      <c r="U118" s="303"/>
    </row>
    <row r="119" spans="1:22">
      <c r="B119" s="258"/>
      <c r="C119" s="256"/>
      <c r="D119" s="495"/>
      <c r="E119" s="495"/>
      <c r="F119" s="495"/>
      <c r="G119" s="495"/>
      <c r="H119" s="495"/>
      <c r="I119" s="495"/>
      <c r="J119" s="495"/>
      <c r="K119" s="495"/>
      <c r="N119" s="303"/>
      <c r="O119" s="303"/>
      <c r="P119" s="303"/>
      <c r="Q119" s="303"/>
      <c r="R119" s="303"/>
      <c r="S119" s="303"/>
      <c r="T119" s="303"/>
      <c r="U119" s="303"/>
    </row>
    <row r="120" spans="1:22">
      <c r="B120" s="256"/>
      <c r="C120" s="256"/>
      <c r="D120" s="495"/>
      <c r="E120" s="495"/>
      <c r="F120" s="495"/>
      <c r="G120" s="495"/>
      <c r="H120" s="495"/>
      <c r="I120" s="495"/>
      <c r="J120" s="495"/>
      <c r="K120" s="495"/>
      <c r="N120" s="303"/>
      <c r="O120" s="303"/>
      <c r="P120" s="303"/>
      <c r="Q120" s="303"/>
      <c r="R120" s="303"/>
      <c r="S120" s="303"/>
      <c r="T120" s="303"/>
      <c r="U120" s="303"/>
    </row>
    <row r="121" spans="1:22">
      <c r="B121" s="258"/>
      <c r="C121" s="256"/>
      <c r="D121" s="495"/>
      <c r="E121" s="495"/>
      <c r="F121" s="495"/>
      <c r="G121" s="495"/>
      <c r="H121" s="495"/>
      <c r="I121" s="495"/>
      <c r="J121" s="495"/>
      <c r="K121" s="495"/>
      <c r="N121" s="303"/>
      <c r="O121" s="303"/>
      <c r="P121" s="303"/>
      <c r="Q121" s="303"/>
      <c r="R121" s="303"/>
      <c r="S121" s="303"/>
      <c r="T121" s="303"/>
      <c r="U121" s="303"/>
    </row>
    <row r="122" spans="1:22">
      <c r="B122" s="258"/>
      <c r="C122" s="256"/>
      <c r="D122" s="495"/>
      <c r="E122" s="495"/>
      <c r="F122" s="495"/>
      <c r="G122" s="495"/>
      <c r="H122" s="495"/>
      <c r="I122" s="495"/>
      <c r="J122" s="495"/>
      <c r="K122" s="495"/>
      <c r="N122" s="303"/>
      <c r="O122" s="303"/>
      <c r="P122" s="303"/>
      <c r="Q122" s="303"/>
      <c r="R122" s="303"/>
      <c r="S122" s="303"/>
      <c r="T122" s="303"/>
      <c r="U122" s="303"/>
    </row>
    <row r="123" spans="1:22">
      <c r="B123" s="258"/>
      <c r="C123" s="256"/>
      <c r="D123" s="495"/>
      <c r="E123" s="495"/>
      <c r="F123" s="495"/>
      <c r="G123" s="495"/>
      <c r="H123" s="495"/>
      <c r="I123" s="495"/>
      <c r="J123" s="495"/>
      <c r="K123" s="495"/>
      <c r="N123" s="303"/>
      <c r="O123" s="303"/>
      <c r="P123" s="303"/>
      <c r="Q123" s="303"/>
      <c r="R123" s="303"/>
      <c r="S123" s="303"/>
      <c r="T123" s="303"/>
      <c r="U123" s="303"/>
    </row>
    <row r="124" spans="1:22">
      <c r="B124" s="366"/>
      <c r="C124" s="270"/>
      <c r="D124" s="495"/>
      <c r="E124" s="495"/>
      <c r="F124" s="495"/>
      <c r="G124" s="495"/>
      <c r="H124" s="495"/>
      <c r="I124" s="495"/>
      <c r="J124" s="495"/>
      <c r="K124" s="495"/>
      <c r="N124" s="303"/>
      <c r="O124" s="303"/>
      <c r="P124" s="303"/>
      <c r="Q124" s="303"/>
      <c r="R124" s="303"/>
      <c r="S124" s="303"/>
      <c r="T124" s="303"/>
      <c r="U124" s="303"/>
    </row>
    <row r="125" spans="1:22">
      <c r="A125" s="258"/>
      <c r="B125" s="270"/>
      <c r="C125" s="270"/>
      <c r="D125" s="495"/>
      <c r="E125" s="495"/>
      <c r="F125" s="495"/>
      <c r="G125" s="495"/>
      <c r="H125" s="495"/>
      <c r="I125" s="495"/>
      <c r="J125" s="495"/>
      <c r="K125" s="495"/>
      <c r="L125" s="258"/>
      <c r="N125" s="303"/>
      <c r="O125" s="303"/>
      <c r="P125" s="303"/>
      <c r="Q125" s="303"/>
      <c r="R125" s="303"/>
      <c r="S125" s="303"/>
      <c r="T125" s="303"/>
      <c r="U125" s="303"/>
    </row>
    <row r="126" spans="1:22">
      <c r="A126" s="258"/>
      <c r="B126" s="366"/>
      <c r="C126" s="256"/>
      <c r="D126" s="495"/>
      <c r="E126" s="495"/>
      <c r="F126" s="495"/>
      <c r="G126" s="495"/>
      <c r="H126" s="495"/>
      <c r="I126" s="495"/>
      <c r="J126" s="495"/>
      <c r="K126" s="495"/>
      <c r="L126" s="258"/>
      <c r="N126" s="303"/>
      <c r="O126" s="303"/>
      <c r="P126" s="303"/>
      <c r="Q126" s="303"/>
      <c r="R126" s="303"/>
      <c r="S126" s="303"/>
      <c r="T126" s="303"/>
      <c r="U126" s="303"/>
    </row>
    <row r="127" spans="1:22">
      <c r="A127" s="258"/>
      <c r="B127" s="366"/>
      <c r="C127" s="256"/>
      <c r="D127" s="495"/>
      <c r="E127" s="495"/>
      <c r="F127" s="495"/>
      <c r="G127" s="495"/>
      <c r="H127" s="495"/>
      <c r="I127" s="495"/>
      <c r="J127" s="495"/>
      <c r="K127" s="495"/>
      <c r="L127" s="258"/>
      <c r="N127" s="303"/>
      <c r="O127" s="303"/>
      <c r="P127" s="303"/>
      <c r="Q127" s="303"/>
      <c r="R127" s="303"/>
      <c r="S127" s="303"/>
      <c r="T127" s="303"/>
      <c r="U127" s="303"/>
    </row>
    <row r="128" spans="1:22">
      <c r="A128" s="258"/>
      <c r="B128" s="366"/>
      <c r="C128" s="256"/>
      <c r="D128" s="495"/>
      <c r="E128" s="495"/>
      <c r="F128" s="495"/>
      <c r="G128" s="495"/>
      <c r="H128" s="495"/>
      <c r="I128" s="495"/>
      <c r="J128" s="495"/>
      <c r="K128" s="495"/>
      <c r="L128" s="258"/>
      <c r="N128" s="303"/>
      <c r="O128" s="303"/>
      <c r="P128" s="303"/>
      <c r="Q128" s="303"/>
      <c r="R128" s="303"/>
      <c r="S128" s="303"/>
      <c r="T128" s="303"/>
      <c r="U128" s="303"/>
    </row>
    <row r="129" spans="1:21">
      <c r="A129" s="258"/>
      <c r="B129" s="366"/>
      <c r="C129" s="256"/>
      <c r="D129" s="495"/>
      <c r="E129" s="495"/>
      <c r="F129" s="495"/>
      <c r="G129" s="495"/>
      <c r="H129" s="495"/>
      <c r="I129" s="495"/>
      <c r="J129" s="495"/>
      <c r="K129" s="495"/>
      <c r="L129" s="258"/>
      <c r="N129" s="303"/>
      <c r="O129" s="303"/>
      <c r="P129" s="303"/>
      <c r="Q129" s="303"/>
      <c r="R129" s="303"/>
      <c r="S129" s="303"/>
      <c r="T129" s="303"/>
      <c r="U129" s="303"/>
    </row>
    <row r="130" spans="1:21">
      <c r="A130" s="258"/>
      <c r="B130" s="366"/>
      <c r="C130" s="256"/>
      <c r="D130" s="495"/>
      <c r="E130" s="495"/>
      <c r="F130" s="495"/>
      <c r="G130" s="495"/>
      <c r="H130" s="495"/>
      <c r="I130" s="495"/>
      <c r="J130" s="495"/>
      <c r="K130" s="495"/>
      <c r="L130" s="258"/>
      <c r="N130" s="303"/>
      <c r="O130" s="303"/>
      <c r="P130" s="303"/>
      <c r="Q130" s="303"/>
      <c r="R130" s="303"/>
      <c r="S130" s="303"/>
      <c r="T130" s="303"/>
      <c r="U130" s="303"/>
    </row>
    <row r="131" spans="1:21">
      <c r="A131" s="258"/>
      <c r="B131" s="366"/>
      <c r="C131" s="256"/>
      <c r="D131" s="495"/>
      <c r="E131" s="495"/>
      <c r="F131" s="495"/>
      <c r="G131" s="495"/>
      <c r="H131" s="495"/>
      <c r="I131" s="495"/>
      <c r="J131" s="495"/>
      <c r="K131" s="495"/>
      <c r="L131" s="258"/>
      <c r="N131" s="303"/>
      <c r="O131" s="303"/>
      <c r="P131" s="303"/>
      <c r="Q131" s="303"/>
      <c r="R131" s="303"/>
      <c r="S131" s="303"/>
      <c r="T131" s="303"/>
      <c r="U131" s="303"/>
    </row>
    <row r="132" spans="1:21">
      <c r="A132" s="258"/>
      <c r="B132" s="366"/>
      <c r="C132" s="256"/>
      <c r="D132" s="495"/>
      <c r="E132" s="495"/>
      <c r="F132" s="495"/>
      <c r="G132" s="495"/>
      <c r="H132" s="495"/>
      <c r="I132" s="495"/>
      <c r="J132" s="495"/>
      <c r="K132" s="495"/>
      <c r="L132" s="258"/>
      <c r="N132" s="303"/>
      <c r="O132" s="303"/>
      <c r="P132" s="303"/>
      <c r="Q132" s="303"/>
      <c r="R132" s="303"/>
      <c r="S132" s="303"/>
      <c r="T132" s="303"/>
      <c r="U132" s="303"/>
    </row>
    <row r="133" spans="1:21">
      <c r="B133" s="366"/>
      <c r="C133" s="256"/>
      <c r="D133" s="495"/>
      <c r="E133" s="495"/>
      <c r="F133" s="495"/>
      <c r="G133" s="495"/>
      <c r="H133" s="495"/>
      <c r="I133" s="495"/>
      <c r="J133" s="495"/>
      <c r="K133" s="495"/>
      <c r="N133" s="303"/>
      <c r="O133" s="303"/>
      <c r="P133" s="303"/>
      <c r="Q133" s="303"/>
      <c r="R133" s="303"/>
      <c r="S133" s="303"/>
      <c r="T133" s="303"/>
      <c r="U133" s="303"/>
    </row>
    <row r="134" spans="1:21">
      <c r="A134" s="258"/>
      <c r="B134" s="258"/>
      <c r="C134" s="256"/>
      <c r="D134" s="256"/>
      <c r="E134" s="270"/>
      <c r="F134" s="293"/>
      <c r="G134" s="293"/>
      <c r="H134" s="479"/>
      <c r="I134" s="479"/>
      <c r="J134" s="479"/>
      <c r="K134" s="352"/>
      <c r="L134" s="258"/>
      <c r="N134" s="303"/>
      <c r="O134" s="303"/>
      <c r="P134" s="303"/>
      <c r="Q134" s="303"/>
      <c r="R134" s="303"/>
      <c r="S134" s="303"/>
      <c r="T134" s="303"/>
      <c r="U134" s="303"/>
    </row>
    <row r="135" spans="1:21">
      <c r="B135" s="240"/>
      <c r="C135" s="240"/>
      <c r="D135" s="364" t="e">
        <f>IF(K54=0,"","ZÓCALO")</f>
        <v>#N/A</v>
      </c>
      <c r="E135" s="242"/>
      <c r="F135" s="243"/>
      <c r="G135" s="243"/>
      <c r="H135" s="240"/>
      <c r="I135" s="240"/>
      <c r="J135" s="240"/>
      <c r="K135" s="244"/>
      <c r="N135" s="303"/>
      <c r="O135" s="303"/>
      <c r="P135" s="303"/>
      <c r="Q135" s="303"/>
      <c r="R135" s="303"/>
      <c r="S135" s="303"/>
      <c r="T135" s="303"/>
      <c r="U135" s="303"/>
    </row>
    <row r="136" spans="1:21">
      <c r="C136" s="240"/>
      <c r="E136" s="242"/>
      <c r="F136" s="243"/>
      <c r="G136" s="243"/>
      <c r="H136" s="240"/>
      <c r="I136" s="240"/>
      <c r="J136" s="240"/>
      <c r="K136" s="244"/>
      <c r="N136" s="303"/>
      <c r="O136" s="303"/>
      <c r="P136" s="303"/>
      <c r="Q136" s="303"/>
      <c r="R136" s="303"/>
      <c r="S136" s="303"/>
      <c r="T136" s="303"/>
      <c r="U136" s="303"/>
    </row>
    <row r="137" spans="1:21" ht="15" customHeight="1">
      <c r="B137" s="240"/>
      <c r="C137" s="240"/>
      <c r="D137" s="486" t="e">
        <f>IF(K54=0,"",CONCATENATE(U37,U50,U52,U41,U40,U42,U43))</f>
        <v>#N/A</v>
      </c>
      <c r="E137" s="486"/>
      <c r="F137" s="486"/>
      <c r="G137" s="486"/>
      <c r="H137" s="486"/>
      <c r="I137" s="486"/>
      <c r="J137" s="486"/>
      <c r="K137" s="486"/>
      <c r="N137" s="303"/>
      <c r="O137" s="303"/>
      <c r="P137" s="303"/>
      <c r="Q137" s="303"/>
      <c r="R137" s="303"/>
      <c r="S137" s="303"/>
      <c r="T137" s="303"/>
      <c r="U137" s="303"/>
    </row>
    <row r="138" spans="1:21" ht="15" customHeight="1">
      <c r="B138" s="368"/>
      <c r="C138" s="368"/>
      <c r="D138" s="486"/>
      <c r="E138" s="486"/>
      <c r="F138" s="486"/>
      <c r="G138" s="486"/>
      <c r="H138" s="486"/>
      <c r="I138" s="486"/>
      <c r="J138" s="486"/>
      <c r="K138" s="486"/>
      <c r="N138" s="303"/>
      <c r="O138" s="303"/>
      <c r="P138" s="303"/>
      <c r="Q138" s="303"/>
      <c r="R138" s="303"/>
      <c r="S138" s="303"/>
      <c r="T138" s="303"/>
      <c r="U138" s="303"/>
    </row>
    <row r="139" spans="1:21">
      <c r="B139" s="368"/>
      <c r="C139" s="368"/>
      <c r="D139" s="486"/>
      <c r="E139" s="486"/>
      <c r="F139" s="486"/>
      <c r="G139" s="486"/>
      <c r="H139" s="486"/>
      <c r="I139" s="486"/>
      <c r="J139" s="486"/>
      <c r="K139" s="486"/>
      <c r="N139" s="303"/>
      <c r="O139" s="303"/>
      <c r="P139" s="303"/>
      <c r="Q139" s="303"/>
      <c r="R139" s="303"/>
      <c r="S139" s="303"/>
      <c r="T139" s="303"/>
      <c r="U139" s="303"/>
    </row>
    <row r="140" spans="1:21">
      <c r="B140" s="368"/>
      <c r="C140" s="368"/>
      <c r="D140" s="486"/>
      <c r="E140" s="486"/>
      <c r="F140" s="486"/>
      <c r="G140" s="486"/>
      <c r="H140" s="486"/>
      <c r="I140" s="486"/>
      <c r="J140" s="486"/>
      <c r="K140" s="486"/>
      <c r="N140" s="303"/>
      <c r="O140" s="303"/>
      <c r="P140" s="303"/>
      <c r="Q140" s="303"/>
      <c r="R140" s="303"/>
      <c r="S140" s="303"/>
      <c r="T140" s="303"/>
      <c r="U140" s="303"/>
    </row>
    <row r="141" spans="1:21">
      <c r="B141" s="368"/>
      <c r="C141" s="368"/>
      <c r="D141" s="486"/>
      <c r="E141" s="486"/>
      <c r="F141" s="486"/>
      <c r="G141" s="486"/>
      <c r="H141" s="486"/>
      <c r="I141" s="486"/>
      <c r="J141" s="486"/>
      <c r="K141" s="486"/>
      <c r="N141" s="303"/>
      <c r="O141" s="303"/>
      <c r="P141" s="303"/>
      <c r="Q141" s="303"/>
      <c r="R141" s="303"/>
      <c r="S141" s="303"/>
      <c r="T141" s="303"/>
      <c r="U141" s="303"/>
    </row>
    <row r="142" spans="1:21">
      <c r="B142" s="368"/>
      <c r="C142" s="368"/>
      <c r="D142" s="486"/>
      <c r="E142" s="486"/>
      <c r="F142" s="486"/>
      <c r="G142" s="486"/>
      <c r="H142" s="486"/>
      <c r="I142" s="486"/>
      <c r="J142" s="486"/>
      <c r="K142" s="486"/>
      <c r="N142" s="303"/>
      <c r="O142" s="303"/>
      <c r="P142" s="303"/>
      <c r="Q142" s="303"/>
      <c r="R142" s="303"/>
      <c r="S142" s="303"/>
      <c r="T142" s="303"/>
      <c r="U142" s="303"/>
    </row>
    <row r="143" spans="1:21">
      <c r="B143" s="368"/>
      <c r="C143" s="368"/>
      <c r="D143" s="486"/>
      <c r="E143" s="486"/>
      <c r="F143" s="486"/>
      <c r="G143" s="486"/>
      <c r="H143" s="486"/>
      <c r="I143" s="486"/>
      <c r="J143" s="486"/>
      <c r="K143" s="486"/>
      <c r="N143" s="303"/>
      <c r="O143" s="303"/>
      <c r="P143" s="303"/>
      <c r="Q143" s="303"/>
      <c r="R143" s="303"/>
      <c r="S143" s="303"/>
      <c r="T143" s="303"/>
      <c r="U143" s="303"/>
    </row>
    <row r="144" spans="1:21">
      <c r="B144" s="368"/>
      <c r="C144" s="368"/>
      <c r="D144" s="486"/>
      <c r="E144" s="486"/>
      <c r="F144" s="486"/>
      <c r="G144" s="486"/>
      <c r="H144" s="486"/>
      <c r="I144" s="486"/>
      <c r="J144" s="486"/>
      <c r="K144" s="486"/>
      <c r="N144" s="303"/>
      <c r="O144" s="303"/>
      <c r="P144" s="303"/>
      <c r="Q144" s="303"/>
      <c r="R144" s="303"/>
      <c r="S144" s="303"/>
      <c r="T144" s="303"/>
      <c r="U144" s="303"/>
    </row>
    <row r="145" spans="2:21">
      <c r="B145" s="368"/>
      <c r="C145" s="368"/>
      <c r="D145" s="486"/>
      <c r="E145" s="486"/>
      <c r="F145" s="486"/>
      <c r="G145" s="486"/>
      <c r="H145" s="486"/>
      <c r="I145" s="486"/>
      <c r="J145" s="486"/>
      <c r="K145" s="486"/>
      <c r="N145" s="303"/>
      <c r="O145" s="303"/>
      <c r="P145" s="303"/>
      <c r="Q145" s="303"/>
      <c r="R145" s="303"/>
      <c r="S145" s="303"/>
      <c r="T145" s="303"/>
      <c r="U145" s="303"/>
    </row>
    <row r="146" spans="2:21">
      <c r="B146" s="368"/>
      <c r="C146" s="368"/>
      <c r="D146" s="486"/>
      <c r="E146" s="486"/>
      <c r="F146" s="486"/>
      <c r="G146" s="486"/>
      <c r="H146" s="486"/>
      <c r="I146" s="486"/>
      <c r="J146" s="486"/>
      <c r="K146" s="486"/>
      <c r="N146" s="303"/>
      <c r="O146" s="303"/>
      <c r="P146" s="303"/>
      <c r="Q146" s="303"/>
      <c r="R146" s="303"/>
      <c r="S146" s="303"/>
      <c r="T146" s="303"/>
      <c r="U146" s="303"/>
    </row>
    <row r="147" spans="2:21">
      <c r="B147" s="368"/>
      <c r="C147" s="368"/>
      <c r="D147" s="486"/>
      <c r="E147" s="486"/>
      <c r="F147" s="486"/>
      <c r="G147" s="486"/>
      <c r="H147" s="486"/>
      <c r="I147" s="486"/>
      <c r="J147" s="486"/>
      <c r="K147" s="486"/>
      <c r="N147" s="303"/>
      <c r="O147" s="303"/>
      <c r="P147" s="303"/>
      <c r="Q147" s="303"/>
      <c r="R147" s="303"/>
      <c r="S147" s="303"/>
      <c r="T147" s="303"/>
      <c r="U147" s="303"/>
    </row>
    <row r="148" spans="2:21">
      <c r="B148" s="328"/>
      <c r="C148" s="328"/>
      <c r="D148" s="486"/>
      <c r="E148" s="486"/>
      <c r="F148" s="486"/>
      <c r="G148" s="486"/>
      <c r="H148" s="486"/>
      <c r="I148" s="486"/>
      <c r="J148" s="486"/>
      <c r="K148" s="486"/>
      <c r="N148" s="303"/>
      <c r="O148" s="303"/>
      <c r="P148" s="303"/>
      <c r="Q148" s="303"/>
      <c r="R148" s="303"/>
      <c r="S148" s="303"/>
      <c r="T148" s="303"/>
      <c r="U148" s="303"/>
    </row>
    <row r="149" spans="2:21">
      <c r="B149" s="328"/>
      <c r="C149" s="328"/>
      <c r="D149" s="486"/>
      <c r="E149" s="486"/>
      <c r="F149" s="486"/>
      <c r="G149" s="486"/>
      <c r="H149" s="486"/>
      <c r="I149" s="486"/>
      <c r="J149" s="486"/>
      <c r="K149" s="486"/>
      <c r="N149" s="303"/>
      <c r="O149" s="303"/>
      <c r="P149" s="303"/>
      <c r="Q149" s="303"/>
      <c r="R149" s="303"/>
      <c r="S149" s="303"/>
      <c r="T149" s="303"/>
      <c r="U149" s="303"/>
    </row>
    <row r="150" spans="2:21">
      <c r="B150" s="328"/>
      <c r="C150" s="328"/>
      <c r="D150" s="486"/>
      <c r="E150" s="486"/>
      <c r="F150" s="486"/>
      <c r="G150" s="486"/>
      <c r="H150" s="486"/>
      <c r="I150" s="486"/>
      <c r="J150" s="486"/>
      <c r="K150" s="486"/>
      <c r="N150" s="303"/>
      <c r="O150" s="303"/>
      <c r="P150" s="303"/>
      <c r="Q150" s="303"/>
      <c r="R150" s="303"/>
      <c r="S150" s="303"/>
      <c r="T150" s="303"/>
      <c r="U150" s="303"/>
    </row>
    <row r="151" spans="2:21">
      <c r="B151" s="328"/>
      <c r="C151" s="328"/>
      <c r="D151" s="486"/>
      <c r="E151" s="486"/>
      <c r="F151" s="486"/>
      <c r="G151" s="486"/>
      <c r="H151" s="486"/>
      <c r="I151" s="486"/>
      <c r="J151" s="486"/>
      <c r="K151" s="486"/>
      <c r="N151" s="303"/>
      <c r="O151" s="303"/>
      <c r="P151" s="303"/>
      <c r="Q151" s="303"/>
      <c r="R151" s="303"/>
      <c r="S151" s="303"/>
      <c r="T151" s="303"/>
      <c r="U151" s="303"/>
    </row>
    <row r="152" spans="2:21">
      <c r="B152" s="328"/>
      <c r="C152" s="328"/>
      <c r="D152" s="486"/>
      <c r="E152" s="486"/>
      <c r="F152" s="486"/>
      <c r="G152" s="486"/>
      <c r="H152" s="486"/>
      <c r="I152" s="486"/>
      <c r="J152" s="486"/>
      <c r="K152" s="486"/>
      <c r="N152" s="303"/>
      <c r="O152" s="303"/>
      <c r="P152" s="303"/>
      <c r="Q152" s="303"/>
      <c r="R152" s="303"/>
      <c r="S152" s="303"/>
      <c r="T152" s="303"/>
      <c r="U152" s="303"/>
    </row>
    <row r="153" spans="2:21">
      <c r="B153" s="328"/>
      <c r="C153" s="328"/>
      <c r="D153" s="486"/>
      <c r="E153" s="486"/>
      <c r="F153" s="486"/>
      <c r="G153" s="486"/>
      <c r="H153" s="486"/>
      <c r="I153" s="486"/>
      <c r="J153" s="486"/>
      <c r="K153" s="486"/>
      <c r="N153" s="303"/>
      <c r="O153" s="303"/>
      <c r="P153" s="303"/>
      <c r="Q153" s="303"/>
      <c r="R153" s="303"/>
      <c r="S153" s="303"/>
      <c r="T153" s="303"/>
      <c r="U153" s="303"/>
    </row>
    <row r="154" spans="2:21">
      <c r="B154" s="328"/>
      <c r="C154" s="328"/>
      <c r="D154" s="486"/>
      <c r="E154" s="486"/>
      <c r="F154" s="486"/>
      <c r="G154" s="486"/>
      <c r="H154" s="486"/>
      <c r="I154" s="486"/>
      <c r="J154" s="486"/>
      <c r="K154" s="486"/>
      <c r="N154" s="303"/>
      <c r="O154" s="303"/>
      <c r="P154" s="303"/>
      <c r="Q154" s="303"/>
      <c r="R154" s="303"/>
      <c r="S154" s="303"/>
      <c r="T154" s="303"/>
      <c r="U154" s="303"/>
    </row>
    <row r="155" spans="2:21">
      <c r="B155" s="328"/>
      <c r="C155" s="328"/>
      <c r="D155" s="486"/>
      <c r="E155" s="486"/>
      <c r="F155" s="486"/>
      <c r="G155" s="486"/>
      <c r="H155" s="486"/>
      <c r="I155" s="486"/>
      <c r="J155" s="486"/>
      <c r="K155" s="486"/>
      <c r="N155" s="303"/>
      <c r="O155" s="303"/>
      <c r="P155" s="303"/>
      <c r="Q155" s="303"/>
      <c r="R155" s="303"/>
      <c r="S155" s="303"/>
      <c r="T155" s="303"/>
      <c r="U155" s="303"/>
    </row>
    <row r="156" spans="2:21">
      <c r="B156" s="328"/>
      <c r="C156" s="328"/>
      <c r="D156" s="486"/>
      <c r="E156" s="486"/>
      <c r="F156" s="486"/>
      <c r="G156" s="486"/>
      <c r="H156" s="486"/>
      <c r="I156" s="486"/>
      <c r="J156" s="486"/>
      <c r="K156" s="486"/>
      <c r="N156" s="303"/>
      <c r="O156" s="303"/>
      <c r="P156" s="303"/>
      <c r="Q156" s="303"/>
      <c r="R156" s="303"/>
      <c r="S156" s="303"/>
      <c r="T156" s="303"/>
      <c r="U156" s="303"/>
    </row>
    <row r="157" spans="2:21">
      <c r="B157" s="328"/>
      <c r="C157" s="328"/>
      <c r="D157" s="486"/>
      <c r="E157" s="486"/>
      <c r="F157" s="486"/>
      <c r="G157" s="486"/>
      <c r="H157" s="486"/>
      <c r="I157" s="486"/>
      <c r="J157" s="486"/>
      <c r="K157" s="486"/>
      <c r="N157" s="303"/>
      <c r="O157" s="303"/>
      <c r="P157" s="303"/>
      <c r="Q157" s="303"/>
      <c r="R157" s="303"/>
      <c r="S157" s="303"/>
      <c r="T157" s="303"/>
      <c r="U157" s="303"/>
    </row>
    <row r="158" spans="2:21">
      <c r="B158" s="328"/>
      <c r="C158" s="328"/>
      <c r="D158" s="486"/>
      <c r="E158" s="486"/>
      <c r="F158" s="486"/>
      <c r="G158" s="486"/>
      <c r="H158" s="486"/>
      <c r="I158" s="486"/>
      <c r="J158" s="486"/>
      <c r="K158" s="486"/>
      <c r="N158" s="303"/>
      <c r="O158" s="303"/>
      <c r="P158" s="303"/>
      <c r="Q158" s="303"/>
      <c r="R158" s="303"/>
      <c r="S158" s="303"/>
      <c r="T158" s="303"/>
      <c r="U158" s="303"/>
    </row>
    <row r="159" spans="2:21">
      <c r="B159" s="328"/>
      <c r="C159" s="328"/>
      <c r="D159" s="486"/>
      <c r="E159" s="486"/>
      <c r="F159" s="486"/>
      <c r="G159" s="486"/>
      <c r="H159" s="486"/>
      <c r="I159" s="486"/>
      <c r="J159" s="486"/>
      <c r="K159" s="486"/>
      <c r="N159" s="303"/>
      <c r="O159" s="303"/>
      <c r="P159" s="303"/>
      <c r="Q159" s="303"/>
      <c r="R159" s="303"/>
      <c r="S159" s="303"/>
      <c r="T159" s="303"/>
      <c r="U159" s="303"/>
    </row>
    <row r="160" spans="2:21">
      <c r="B160" s="328"/>
      <c r="C160" s="328"/>
      <c r="D160" s="486"/>
      <c r="E160" s="486"/>
      <c r="F160" s="486"/>
      <c r="G160" s="486"/>
      <c r="H160" s="486"/>
      <c r="I160" s="486"/>
      <c r="J160" s="486"/>
      <c r="K160" s="486"/>
      <c r="N160" s="303"/>
      <c r="O160" s="303"/>
      <c r="P160" s="303"/>
      <c r="Q160" s="303"/>
      <c r="R160" s="303"/>
      <c r="S160" s="303"/>
      <c r="T160" s="303"/>
      <c r="U160" s="303"/>
    </row>
    <row r="161" spans="1:76">
      <c r="B161" s="328"/>
      <c r="C161" s="328"/>
      <c r="D161" s="369"/>
      <c r="E161" s="369"/>
      <c r="F161" s="369"/>
      <c r="G161" s="369"/>
      <c r="H161" s="369"/>
      <c r="I161" s="369"/>
      <c r="J161" s="369"/>
      <c r="K161" s="370"/>
      <c r="N161" s="303"/>
      <c r="O161" s="303"/>
      <c r="P161" s="303"/>
      <c r="Q161" s="303"/>
      <c r="R161" s="303"/>
      <c r="S161" s="303"/>
      <c r="T161" s="303"/>
      <c r="U161" s="303"/>
    </row>
    <row r="162" spans="1:76">
      <c r="B162" s="328"/>
      <c r="C162" s="328"/>
      <c r="D162" s="369"/>
      <c r="E162" s="369"/>
      <c r="F162" s="369"/>
      <c r="G162" s="369"/>
      <c r="H162" s="369"/>
      <c r="I162" s="369"/>
      <c r="J162" s="369"/>
      <c r="K162" s="370"/>
      <c r="N162" s="303"/>
      <c r="O162" s="303"/>
      <c r="P162" s="303"/>
      <c r="Q162" s="303"/>
      <c r="R162" s="303"/>
      <c r="S162" s="303"/>
      <c r="T162" s="303"/>
      <c r="U162" s="303"/>
    </row>
    <row r="163" spans="1:76">
      <c r="B163" s="240"/>
      <c r="C163" s="240"/>
      <c r="D163" s="240"/>
      <c r="E163" s="242"/>
      <c r="F163" s="243"/>
      <c r="G163" s="243"/>
      <c r="H163" s="240"/>
      <c r="I163" s="240"/>
      <c r="J163" s="240"/>
      <c r="K163" s="244"/>
      <c r="N163" s="303"/>
      <c r="O163" s="303"/>
      <c r="P163" s="303"/>
      <c r="Q163" s="303"/>
      <c r="R163" s="303"/>
      <c r="S163" s="303"/>
      <c r="T163" s="303"/>
      <c r="U163" s="303"/>
    </row>
    <row r="164" spans="1:76" s="240" customFormat="1" ht="3.65" customHeight="1">
      <c r="B164" s="355"/>
      <c r="C164" s="355"/>
      <c r="D164" s="355"/>
      <c r="E164" s="356"/>
      <c r="F164" s="357"/>
      <c r="G164" s="357"/>
      <c r="H164" s="355"/>
      <c r="I164" s="355"/>
      <c r="J164" s="355"/>
      <c r="K164" s="358"/>
      <c r="M164" s="245"/>
      <c r="N164" s="303"/>
      <c r="O164" s="303"/>
      <c r="P164" s="303"/>
      <c r="Q164" s="303"/>
      <c r="R164" s="303"/>
      <c r="S164" s="303"/>
      <c r="T164" s="303"/>
      <c r="U164" s="303"/>
      <c r="V164" s="245"/>
      <c r="W164" s="245"/>
      <c r="X164" s="245"/>
      <c r="Y164" s="245"/>
      <c r="Z164" s="245"/>
      <c r="AA164" s="245"/>
      <c r="AB164" s="245"/>
      <c r="AC164" s="245"/>
      <c r="AD164" s="245"/>
      <c r="AE164" s="245"/>
      <c r="AF164" s="245"/>
      <c r="AG164" s="245"/>
      <c r="AH164" s="246"/>
      <c r="AI164" s="245"/>
      <c r="AJ164" s="324"/>
      <c r="AK164" s="324"/>
      <c r="AL164" s="324"/>
      <c r="AM164" s="324"/>
      <c r="AN164" s="324"/>
      <c r="AO164" s="324"/>
      <c r="AP164" s="324"/>
      <c r="AQ164" s="324"/>
      <c r="AR164" s="324"/>
      <c r="AS164" s="324"/>
      <c r="AT164" s="324"/>
      <c r="AU164" s="324"/>
      <c r="AV164" s="324"/>
      <c r="AW164" s="324"/>
      <c r="AX164" s="324"/>
      <c r="AY164" s="324"/>
      <c r="AZ164" s="324"/>
      <c r="BA164" s="324"/>
      <c r="BB164" s="324"/>
      <c r="BC164" s="324"/>
      <c r="BD164" s="324"/>
      <c r="BE164" s="324"/>
      <c r="BF164" s="324"/>
      <c r="BG164" s="324"/>
      <c r="BH164" s="324"/>
      <c r="BI164" s="324"/>
      <c r="BJ164" s="324"/>
      <c r="BK164" s="324"/>
      <c r="BL164" s="324"/>
      <c r="BM164" s="324"/>
      <c r="BN164" s="324"/>
      <c r="BO164" s="324"/>
      <c r="BP164" s="324"/>
      <c r="BQ164" s="324"/>
      <c r="BR164" s="324"/>
      <c r="BS164" s="324"/>
      <c r="BT164" s="324"/>
      <c r="BU164" s="324"/>
      <c r="BV164" s="324"/>
      <c r="BW164" s="324"/>
      <c r="BX164" s="324"/>
    </row>
    <row r="165" spans="1:76" ht="3" customHeight="1">
      <c r="B165" s="240"/>
      <c r="C165" s="240"/>
      <c r="D165" s="240"/>
      <c r="E165" s="242"/>
      <c r="F165" s="243"/>
      <c r="G165" s="243"/>
      <c r="H165" s="240"/>
      <c r="I165" s="240"/>
      <c r="J165" s="240"/>
      <c r="K165" s="244"/>
      <c r="N165" s="303"/>
      <c r="O165" s="303"/>
      <c r="P165" s="303"/>
      <c r="Q165" s="303"/>
      <c r="R165" s="303"/>
      <c r="S165" s="303"/>
      <c r="T165" s="303"/>
      <c r="U165" s="303"/>
    </row>
    <row r="166" spans="1:76" ht="14.5" customHeight="1">
      <c r="B166" s="484" t="s">
        <v>307</v>
      </c>
      <c r="C166" s="484"/>
      <c r="D166" s="484"/>
      <c r="E166" s="484"/>
      <c r="F166" s="484"/>
      <c r="G166" s="484"/>
      <c r="H166" s="484"/>
      <c r="I166" s="484"/>
      <c r="J166" s="484"/>
      <c r="K166" s="484"/>
      <c r="N166" s="303"/>
      <c r="O166" s="303"/>
      <c r="P166" s="303"/>
      <c r="Q166" s="303"/>
      <c r="R166" s="303"/>
      <c r="S166" s="303"/>
      <c r="T166" s="303"/>
      <c r="U166" s="303"/>
    </row>
    <row r="167" spans="1:76">
      <c r="B167" s="484"/>
      <c r="C167" s="484"/>
      <c r="D167" s="484"/>
      <c r="E167" s="484"/>
      <c r="F167" s="484"/>
      <c r="G167" s="484"/>
      <c r="H167" s="484"/>
      <c r="I167" s="484"/>
      <c r="J167" s="484"/>
      <c r="K167" s="484"/>
      <c r="N167" s="303"/>
      <c r="O167" s="303"/>
      <c r="P167" s="303"/>
      <c r="Q167" s="303"/>
      <c r="R167" s="303"/>
      <c r="S167" s="303"/>
      <c r="T167" s="303"/>
      <c r="U167" s="303"/>
    </row>
    <row r="168" spans="1:76" ht="14.5" customHeight="1">
      <c r="B168" s="484"/>
      <c r="C168" s="484"/>
      <c r="D168" s="484"/>
      <c r="E168" s="484"/>
      <c r="F168" s="484"/>
      <c r="G168" s="484"/>
      <c r="H168" s="484"/>
      <c r="I168" s="484"/>
      <c r="J168" s="484"/>
      <c r="K168" s="484"/>
      <c r="N168" s="303"/>
      <c r="O168" s="303"/>
      <c r="P168" s="303"/>
      <c r="Q168" s="303"/>
      <c r="R168" s="303"/>
      <c r="S168" s="303"/>
      <c r="T168" s="303"/>
      <c r="U168" s="303"/>
    </row>
    <row r="169" spans="1:76">
      <c r="B169" s="484"/>
      <c r="C169" s="484"/>
      <c r="D169" s="484"/>
      <c r="E169" s="484"/>
      <c r="F169" s="484"/>
      <c r="G169" s="484"/>
      <c r="H169" s="484"/>
      <c r="I169" s="484"/>
      <c r="J169" s="484"/>
      <c r="K169" s="484"/>
      <c r="N169" s="303"/>
      <c r="O169" s="303"/>
      <c r="P169" s="303"/>
      <c r="Q169" s="303"/>
      <c r="R169" s="303"/>
      <c r="S169" s="303"/>
      <c r="T169" s="303"/>
      <c r="U169" s="303"/>
    </row>
    <row r="170" spans="1:76">
      <c r="A170" s="245"/>
      <c r="B170" s="245"/>
      <c r="C170" s="245"/>
      <c r="D170" s="245"/>
      <c r="E170" s="246"/>
      <c r="F170" s="359"/>
      <c r="G170" s="359"/>
      <c r="H170" s="245"/>
      <c r="I170" s="245"/>
      <c r="J170" s="245"/>
      <c r="K170" s="360"/>
      <c r="L170" s="245"/>
      <c r="N170" s="303"/>
      <c r="O170" s="303"/>
      <c r="P170" s="303"/>
      <c r="Q170" s="303"/>
      <c r="R170" s="303"/>
      <c r="S170" s="303"/>
      <c r="T170" s="303"/>
      <c r="U170" s="303"/>
    </row>
    <row r="171" spans="1:76" ht="15.5">
      <c r="B171" s="241"/>
      <c r="C171" s="240"/>
      <c r="D171" s="240"/>
      <c r="E171" s="242"/>
      <c r="F171" s="243"/>
      <c r="G171" s="243"/>
      <c r="H171" s="240"/>
      <c r="I171" s="240"/>
      <c r="J171" s="240"/>
      <c r="K171" s="244"/>
      <c r="N171" s="303"/>
      <c r="O171" s="303"/>
      <c r="P171" s="303"/>
      <c r="Q171" s="303"/>
      <c r="R171" s="303"/>
      <c r="S171" s="303"/>
      <c r="T171" s="303"/>
      <c r="U171" s="303"/>
    </row>
    <row r="172" spans="1:76">
      <c r="B172" s="240"/>
      <c r="C172" s="240"/>
      <c r="D172" s="240"/>
      <c r="E172" s="242"/>
      <c r="F172" s="243"/>
      <c r="G172" s="243"/>
      <c r="H172" s="240"/>
      <c r="I172" s="240"/>
      <c r="J172" s="240"/>
      <c r="K172" s="244"/>
      <c r="N172" s="303"/>
      <c r="O172" s="303"/>
      <c r="P172" s="303"/>
      <c r="Q172" s="303"/>
      <c r="R172" s="303"/>
      <c r="S172" s="303"/>
      <c r="T172" s="303"/>
      <c r="U172" s="303"/>
    </row>
    <row r="173" spans="1:76">
      <c r="B173" s="247" t="s">
        <v>117</v>
      </c>
      <c r="C173" s="467">
        <f ca="1">TODAY()</f>
        <v>45701</v>
      </c>
      <c r="D173" s="467"/>
      <c r="E173" s="248"/>
      <c r="F173" s="249"/>
      <c r="G173" s="249"/>
      <c r="H173" s="248"/>
      <c r="I173" s="248"/>
      <c r="J173" s="248"/>
      <c r="K173" s="244"/>
      <c r="N173" s="303"/>
      <c r="O173" s="303"/>
      <c r="P173" s="303"/>
      <c r="Q173" s="303"/>
      <c r="R173" s="303"/>
      <c r="S173" s="303"/>
      <c r="T173" s="303"/>
      <c r="U173" s="303"/>
    </row>
    <row r="174" spans="1:76">
      <c r="B174" s="247" t="s">
        <v>118</v>
      </c>
      <c r="C174" s="468">
        <f>C4</f>
        <v>0</v>
      </c>
      <c r="D174" s="468"/>
      <c r="E174" s="248"/>
      <c r="F174" s="249"/>
      <c r="G174" s="249"/>
      <c r="H174" s="248"/>
      <c r="I174" s="248"/>
      <c r="J174" s="248"/>
      <c r="K174" s="244"/>
      <c r="N174" s="303"/>
      <c r="O174" s="303"/>
      <c r="P174" s="303"/>
      <c r="Q174" s="303"/>
      <c r="R174" s="303"/>
      <c r="S174" s="303"/>
      <c r="T174" s="303"/>
      <c r="U174" s="303"/>
    </row>
    <row r="175" spans="1:76">
      <c r="B175" s="247" t="s">
        <v>119</v>
      </c>
      <c r="C175" s="468">
        <f>C5</f>
        <v>0</v>
      </c>
      <c r="D175" s="468"/>
      <c r="E175" s="255"/>
      <c r="F175" s="371"/>
      <c r="G175" s="249"/>
      <c r="H175" s="248"/>
      <c r="I175" s="248"/>
      <c r="J175" s="248"/>
      <c r="K175" s="244"/>
      <c r="N175" s="303"/>
      <c r="O175" s="303"/>
      <c r="P175" s="303"/>
      <c r="Q175" s="303"/>
      <c r="R175" s="303"/>
      <c r="S175" s="303"/>
      <c r="T175" s="303"/>
      <c r="U175" s="303"/>
    </row>
    <row r="176" spans="1:76">
      <c r="B176" s="254" t="s">
        <v>120</v>
      </c>
      <c r="C176" s="468">
        <f>C6</f>
        <v>0</v>
      </c>
      <c r="D176" s="468"/>
      <c r="E176" s="469"/>
      <c r="F176" s="469"/>
      <c r="G176" s="255"/>
      <c r="H176" s="256"/>
      <c r="I176" s="256"/>
      <c r="J176" s="256"/>
      <c r="K176" s="244"/>
      <c r="N176" s="303"/>
      <c r="O176" s="303"/>
      <c r="P176" s="303"/>
      <c r="Q176" s="303"/>
      <c r="R176" s="303"/>
      <c r="S176" s="303"/>
      <c r="T176" s="303"/>
      <c r="U176" s="303"/>
    </row>
    <row r="177" spans="1:26">
      <c r="B177" s="257"/>
      <c r="C177" s="255"/>
      <c r="D177" s="255"/>
      <c r="E177" s="255"/>
      <c r="F177" s="255"/>
      <c r="G177" s="255"/>
      <c r="H177" s="256"/>
      <c r="I177" s="256"/>
      <c r="J177" s="256"/>
      <c r="K177" s="244"/>
      <c r="N177" s="303"/>
      <c r="O177" s="303"/>
      <c r="P177" s="303"/>
      <c r="Q177" s="303"/>
      <c r="R177" s="303"/>
      <c r="S177" s="303"/>
      <c r="T177" s="303"/>
      <c r="U177" s="303"/>
    </row>
    <row r="178" spans="1:26">
      <c r="B178" s="258"/>
      <c r="C178" s="256"/>
      <c r="D178" s="256"/>
      <c r="E178" s="256"/>
      <c r="F178" s="259"/>
      <c r="G178" s="259"/>
      <c r="H178" s="256"/>
      <c r="I178" s="240"/>
      <c r="J178" s="240"/>
      <c r="K178" s="244"/>
      <c r="M178" s="324"/>
      <c r="N178" s="361"/>
      <c r="O178" s="361"/>
      <c r="P178" s="361"/>
      <c r="Q178" s="361"/>
      <c r="R178" s="361"/>
      <c r="S178" s="361"/>
      <c r="T178" s="361"/>
      <c r="U178" s="361"/>
      <c r="V178" s="324"/>
    </row>
    <row r="179" spans="1:26" ht="21">
      <c r="B179" s="494" t="s">
        <v>358</v>
      </c>
      <c r="C179" s="494"/>
      <c r="D179" s="494"/>
      <c r="E179" s="494"/>
      <c r="F179" s="494"/>
      <c r="G179" s="494"/>
      <c r="H179" s="494"/>
      <c r="I179" s="494"/>
      <c r="J179" s="494"/>
      <c r="K179" s="494"/>
      <c r="M179" s="324"/>
      <c r="N179" s="362" t="s">
        <v>207</v>
      </c>
      <c r="O179" s="361"/>
      <c r="P179" s="361"/>
      <c r="Q179" s="363" t="s">
        <v>208</v>
      </c>
      <c r="R179" s="361"/>
      <c r="S179" s="361"/>
      <c r="T179" s="361"/>
      <c r="U179" s="361"/>
      <c r="V179" s="324"/>
    </row>
    <row r="180" spans="1:26" ht="15.5">
      <c r="B180" s="261"/>
      <c r="C180" s="261"/>
      <c r="D180" s="261"/>
      <c r="E180" s="261"/>
      <c r="F180" s="261"/>
      <c r="G180" s="261"/>
      <c r="H180" s="261"/>
      <c r="I180" s="261"/>
      <c r="J180" s="261"/>
      <c r="K180" s="262"/>
      <c r="M180" s="324"/>
      <c r="N180" s="362"/>
      <c r="O180" s="361"/>
      <c r="P180" s="361"/>
      <c r="Q180" s="363"/>
      <c r="R180" s="361"/>
      <c r="S180" s="361"/>
      <c r="T180" s="361"/>
      <c r="U180" s="361"/>
      <c r="V180" s="324"/>
    </row>
    <row r="181" spans="1:26" ht="15.5">
      <c r="B181" s="261"/>
      <c r="C181" s="261"/>
      <c r="D181" s="261"/>
      <c r="E181" s="261"/>
      <c r="F181" s="261"/>
      <c r="G181" s="261"/>
      <c r="H181" s="490" t="s">
        <v>300</v>
      </c>
      <c r="I181" s="490"/>
      <c r="J181" s="491"/>
      <c r="K181" s="491"/>
      <c r="M181" s="324"/>
      <c r="N181" s="362"/>
      <c r="O181" s="361"/>
      <c r="P181" s="361"/>
      <c r="Q181" s="363"/>
      <c r="R181" s="361"/>
      <c r="S181" s="361"/>
      <c r="T181" s="361"/>
      <c r="U181" s="361"/>
      <c r="V181" s="324"/>
    </row>
    <row r="182" spans="1:26">
      <c r="A182" s="258"/>
      <c r="B182" s="269" t="s">
        <v>340</v>
      </c>
      <c r="C182" s="258"/>
      <c r="D182" s="258"/>
      <c r="E182" s="270"/>
      <c r="F182" s="270"/>
      <c r="G182" s="270"/>
      <c r="H182" s="496"/>
      <c r="I182" s="496"/>
      <c r="J182" s="497"/>
      <c r="K182" s="497"/>
      <c r="L182" s="258"/>
      <c r="M182" s="324"/>
      <c r="N182" s="361"/>
      <c r="O182" s="361"/>
      <c r="P182" s="361"/>
      <c r="Q182" s="361"/>
      <c r="R182" s="361"/>
      <c r="S182" s="361"/>
      <c r="T182" s="361"/>
      <c r="U182" s="361"/>
      <c r="V182" s="324"/>
    </row>
    <row r="183" spans="1:26">
      <c r="B183" s="276"/>
      <c r="C183" s="240"/>
      <c r="D183" s="240"/>
      <c r="E183" s="242"/>
      <c r="F183" s="243"/>
      <c r="G183" s="243"/>
      <c r="H183" s="240"/>
      <c r="I183" s="240"/>
      <c r="J183" s="240"/>
      <c r="K183" s="244"/>
      <c r="M183" s="324"/>
      <c r="N183" s="361"/>
      <c r="O183" s="361"/>
      <c r="P183" s="361"/>
      <c r="Q183" s="361"/>
      <c r="R183" s="361"/>
      <c r="S183" s="361"/>
      <c r="T183" s="361"/>
      <c r="U183" s="361"/>
      <c r="V183" s="324"/>
    </row>
    <row r="184" spans="1:26" ht="37.5">
      <c r="A184" s="280"/>
      <c r="B184" s="281" t="s">
        <v>2</v>
      </c>
      <c r="C184" s="470" t="s">
        <v>1</v>
      </c>
      <c r="D184" s="471"/>
      <c r="E184" s="281" t="s">
        <v>403</v>
      </c>
      <c r="F184" s="281" t="s">
        <v>347</v>
      </c>
      <c r="G184" s="283" t="s">
        <v>383</v>
      </c>
      <c r="H184" s="281" t="s">
        <v>345</v>
      </c>
      <c r="I184" s="281" t="s">
        <v>405</v>
      </c>
      <c r="J184" s="283" t="s">
        <v>349</v>
      </c>
      <c r="K184" s="372" t="s">
        <v>350</v>
      </c>
      <c r="L184" s="280"/>
      <c r="M184" s="324"/>
      <c r="N184" s="361"/>
      <c r="O184" s="361"/>
      <c r="P184" s="361"/>
      <c r="Q184" s="361"/>
      <c r="R184" s="361"/>
      <c r="S184" s="361"/>
      <c r="T184" s="361"/>
      <c r="U184" s="361"/>
      <c r="V184" s="324"/>
    </row>
    <row r="185" spans="1:26">
      <c r="B185" s="287" t="s">
        <v>3</v>
      </c>
      <c r="C185" s="465" t="str">
        <f t="shared" ref="C185:C191" si="6">C16</f>
        <v>webertherm BASEGEL gris</v>
      </c>
      <c r="D185" s="465"/>
      <c r="E185" s="288">
        <f>F16</f>
        <v>5</v>
      </c>
      <c r="F185" s="373">
        <f>VLOOKUP(C185,'Listas-2'!$B$12:$K$420,5,)</f>
        <v>25</v>
      </c>
      <c r="G185" s="374">
        <f>G16-(G16*(I16))</f>
        <v>27.98</v>
      </c>
      <c r="H185" s="375" t="str">
        <f>VLOOKUP(C185,'Listas-2'!$B$12:$K$420,8,)</f>
        <v>saco</v>
      </c>
      <c r="I185" s="376">
        <f>E185*J181</f>
        <v>0</v>
      </c>
      <c r="J185" s="377">
        <f t="shared" ref="J185:J191" si="7">ROUNDUP(I185/F185,0)</f>
        <v>0</v>
      </c>
      <c r="K185" s="378">
        <f>J185*G185</f>
        <v>0</v>
      </c>
      <c r="M185" s="324"/>
      <c r="N185" s="361"/>
      <c r="O185" s="361"/>
      <c r="P185" s="361"/>
      <c r="Q185" s="361"/>
      <c r="R185" s="361"/>
      <c r="S185" s="361"/>
      <c r="T185" s="361"/>
      <c r="U185" s="361"/>
      <c r="V185" s="324"/>
      <c r="X185" s="301"/>
      <c r="Y185" s="301"/>
      <c r="Z185" s="301"/>
    </row>
    <row r="186" spans="1:26">
      <c r="B186" s="287" t="s">
        <v>6</v>
      </c>
      <c r="C186" s="465" t="str">
        <f t="shared" si="6"/>
        <v>webertherm PLACA EPS 80</v>
      </c>
      <c r="D186" s="465"/>
      <c r="E186" s="288">
        <f>F17</f>
        <v>1</v>
      </c>
      <c r="F186" s="379">
        <f>VLOOKUP(C186,'Listas-2'!$B$12:$K$420,5,)</f>
        <v>1</v>
      </c>
      <c r="G186" s="374">
        <f>H17-(H17*(I17))</f>
        <v>19.29</v>
      </c>
      <c r="H186" s="375" t="str">
        <f>VLOOKUP(C186,'Listas-2'!$B$12:$K$420,8,)</f>
        <v>m²</v>
      </c>
      <c r="I186" s="380">
        <f>J181*E186</f>
        <v>0</v>
      </c>
      <c r="J186" s="381">
        <f>I186</f>
        <v>0</v>
      </c>
      <c r="K186" s="378">
        <f>J186*G186</f>
        <v>0</v>
      </c>
      <c r="M186" s="324"/>
      <c r="N186" s="361"/>
      <c r="O186" s="361"/>
      <c r="P186" s="361"/>
      <c r="Q186" s="361"/>
      <c r="R186" s="361"/>
      <c r="S186" s="361"/>
      <c r="T186" s="361"/>
      <c r="U186" s="361"/>
      <c r="V186" s="324"/>
      <c r="X186" s="301"/>
      <c r="Y186" s="382"/>
      <c r="Z186" s="382"/>
    </row>
    <row r="187" spans="1:26">
      <c r="B187" s="287" t="s">
        <v>7</v>
      </c>
      <c r="C187" s="472" t="str">
        <f t="shared" si="6"/>
        <v>webertherm ESPIGA H3 135</v>
      </c>
      <c r="D187" s="472"/>
      <c r="E187" s="288">
        <f>F18</f>
        <v>6</v>
      </c>
      <c r="F187" s="383">
        <f>VLOOKUP(C187,'Listas-2'!$B$12:$K$420,5,)</f>
        <v>200</v>
      </c>
      <c r="G187" s="374">
        <f>G18-(G18*(I18))</f>
        <v>97.74</v>
      </c>
      <c r="H187" s="375" t="str">
        <f>VLOOKUP(C187,'Listas-2'!$B$12:$K$420,8,)</f>
        <v>caja</v>
      </c>
      <c r="I187" s="384">
        <f>J181*E187</f>
        <v>0</v>
      </c>
      <c r="J187" s="385">
        <f t="shared" si="7"/>
        <v>0</v>
      </c>
      <c r="K187" s="378">
        <f>J187*G187</f>
        <v>0</v>
      </c>
      <c r="M187" s="324"/>
      <c r="N187" s="361"/>
      <c r="O187" s="361"/>
      <c r="P187" s="361"/>
      <c r="Q187" s="361"/>
      <c r="R187" s="361"/>
      <c r="S187" s="361"/>
      <c r="T187" s="361"/>
      <c r="U187" s="361"/>
      <c r="V187" s="324"/>
      <c r="X187" s="301"/>
      <c r="Y187" s="386"/>
      <c r="Z187" s="387"/>
    </row>
    <row r="188" spans="1:26">
      <c r="B188" s="473" t="s">
        <v>9</v>
      </c>
      <c r="C188" s="465" t="str">
        <f t="shared" si="6"/>
        <v>webertherm BASEGEL gris</v>
      </c>
      <c r="D188" s="465"/>
      <c r="E188" s="288">
        <f>F19</f>
        <v>5</v>
      </c>
      <c r="F188" s="373">
        <f>VLOOKUP(C188,'Listas-2'!$B$12:$K$420,5,)</f>
        <v>25</v>
      </c>
      <c r="G188" s="374">
        <f>G19-(G19*(I19))</f>
        <v>27.98</v>
      </c>
      <c r="H188" s="375" t="str">
        <f>VLOOKUP(C188,'Listas-2'!$B$12:$K$420,8,)</f>
        <v>saco</v>
      </c>
      <c r="I188" s="376">
        <f>J181*E188</f>
        <v>0</v>
      </c>
      <c r="J188" s="377">
        <f t="shared" si="7"/>
        <v>0</v>
      </c>
      <c r="K188" s="378">
        <f>J188*G188</f>
        <v>0</v>
      </c>
      <c r="M188" s="324"/>
      <c r="N188" s="361"/>
      <c r="O188" s="361"/>
      <c r="P188" s="361"/>
      <c r="Q188" s="361"/>
      <c r="R188" s="361"/>
      <c r="S188" s="361"/>
      <c r="T188" s="361"/>
      <c r="U188" s="361"/>
      <c r="V188" s="324"/>
      <c r="X188" s="301"/>
      <c r="Y188" s="386"/>
      <c r="Z188" s="387"/>
    </row>
    <row r="189" spans="1:26">
      <c r="B189" s="473"/>
      <c r="C189" s="465" t="str">
        <f t="shared" si="6"/>
        <v>webertherm MALLA 160</v>
      </c>
      <c r="D189" s="465"/>
      <c r="E189" s="288">
        <f>F20</f>
        <v>1.1000000000000001</v>
      </c>
      <c r="F189" s="379">
        <f>VLOOKUP(C189,'Listas-2'!$B$12:$K$420,5,)</f>
        <v>55</v>
      </c>
      <c r="G189" s="374">
        <f>G20-(G20*(I20))</f>
        <v>133.94</v>
      </c>
      <c r="H189" s="375" t="str">
        <f>VLOOKUP(C189,'Listas-2'!$B$12:$K$420,8,)</f>
        <v>rollo</v>
      </c>
      <c r="I189" s="380">
        <f>J181*E189</f>
        <v>0</v>
      </c>
      <c r="J189" s="388">
        <f t="shared" si="7"/>
        <v>0</v>
      </c>
      <c r="K189" s="378">
        <f>J189*G189</f>
        <v>0</v>
      </c>
      <c r="M189" s="324"/>
      <c r="N189" s="361"/>
      <c r="O189" s="361"/>
      <c r="P189" s="361"/>
      <c r="Q189" s="361"/>
      <c r="R189" s="361"/>
      <c r="S189" s="361"/>
      <c r="T189" s="361"/>
      <c r="U189" s="361"/>
      <c r="V189" s="324"/>
      <c r="X189" s="301"/>
      <c r="Y189" s="386"/>
      <c r="Z189" s="387"/>
    </row>
    <row r="190" spans="1:26">
      <c r="B190" s="473" t="s">
        <v>11</v>
      </c>
      <c r="C190" s="465" t="str">
        <f t="shared" si="6"/>
        <v>RENOVATHERM PRIMER BLANCO=BASE BB 15L</v>
      </c>
      <c r="D190" s="474"/>
      <c r="E190" s="288">
        <f>IF(C190="Imprimación no necesaria","-",F21)</f>
        <v>0.17</v>
      </c>
      <c r="F190" s="389">
        <f>IF(C190="Imprimación no necesaria","-",VLOOKUP(C190,'Listas-2'!$B$12:$K$420,5,))</f>
        <v>15</v>
      </c>
      <c r="G190" s="374">
        <f>IF(C190="Imprimación no necesaria","-",G21-(G21*(I21)))</f>
        <v>201.85</v>
      </c>
      <c r="H190" s="375" t="str">
        <f>VLOOKUP(C190,'Listas-2'!$B$12:$K$420,8,)</f>
        <v>bidón</v>
      </c>
      <c r="I190" s="390">
        <f>IF(C190="imprimación no necesaria","-",J181*E190)</f>
        <v>0</v>
      </c>
      <c r="J190" s="391">
        <f>IF(C190="imprimación no necesaria","-",ROUNDUP(I190/F190,0))</f>
        <v>0</v>
      </c>
      <c r="K190" s="378">
        <f>IF(C190="Imprimación no necesaria",0,J190*G190)</f>
        <v>0</v>
      </c>
      <c r="M190" s="324"/>
      <c r="N190" s="361"/>
      <c r="O190" s="361"/>
      <c r="P190" s="361"/>
      <c r="Q190" s="361"/>
      <c r="R190" s="361"/>
      <c r="S190" s="361"/>
      <c r="T190" s="361"/>
      <c r="U190" s="361"/>
      <c r="V190" s="324"/>
      <c r="X190" s="301"/>
      <c r="Y190" s="386"/>
      <c r="Z190" s="387"/>
    </row>
    <row r="191" spans="1:26">
      <c r="B191" s="473"/>
      <c r="C191" s="465" t="str">
        <f t="shared" si="6"/>
        <v xml:space="preserve">RENOVATHERM MORTAR 1.0 BASE BN </v>
      </c>
      <c r="D191" s="465"/>
      <c r="E191" s="288">
        <f>F22</f>
        <v>1.8</v>
      </c>
      <c r="F191" s="373">
        <f>VLOOKUP(C191,'Listas-2'!$B$12:$K$420,5,)</f>
        <v>25</v>
      </c>
      <c r="G191" s="374">
        <f>G22-(G22*I22)</f>
        <v>130.94999999999999</v>
      </c>
      <c r="H191" s="375" t="str">
        <f>VLOOKUP(C191,'Listas-2'!$B$12:$K$420,8,)</f>
        <v>bidón</v>
      </c>
      <c r="I191" s="376">
        <f>J181*E191</f>
        <v>0</v>
      </c>
      <c r="J191" s="391">
        <f t="shared" si="7"/>
        <v>0</v>
      </c>
      <c r="K191" s="378">
        <f>J191*G191</f>
        <v>0</v>
      </c>
      <c r="M191" s="324"/>
      <c r="N191" s="361"/>
      <c r="O191" s="361"/>
      <c r="P191" s="361"/>
      <c r="Q191" s="361"/>
      <c r="R191" s="361"/>
      <c r="S191" s="361"/>
      <c r="T191" s="361"/>
      <c r="U191" s="361"/>
      <c r="V191" s="324"/>
      <c r="X191" s="301"/>
      <c r="Y191" s="386"/>
      <c r="Z191" s="387"/>
    </row>
    <row r="192" spans="1:26">
      <c r="B192" s="292" t="s">
        <v>363</v>
      </c>
      <c r="C192" s="270"/>
      <c r="D192" s="270"/>
      <c r="E192" s="270"/>
      <c r="F192" s="293"/>
      <c r="G192" s="392"/>
      <c r="H192" s="293"/>
      <c r="I192" s="270"/>
      <c r="J192" s="293"/>
      <c r="K192" s="297"/>
      <c r="M192" s="324"/>
      <c r="N192" s="361"/>
      <c r="O192" s="361"/>
      <c r="P192" s="361"/>
      <c r="Q192" s="361"/>
      <c r="R192" s="361"/>
      <c r="S192" s="361"/>
      <c r="T192" s="361"/>
      <c r="U192" s="361"/>
      <c r="V192" s="324"/>
      <c r="X192" s="301"/>
      <c r="Y192" s="386"/>
      <c r="Z192" s="387"/>
    </row>
    <row r="193" spans="1:76">
      <c r="B193" s="269" t="s">
        <v>121</v>
      </c>
      <c r="C193" s="485"/>
      <c r="D193" s="485"/>
      <c r="E193" s="242"/>
      <c r="F193" s="243"/>
      <c r="G193" s="243"/>
      <c r="H193" s="242"/>
      <c r="I193" s="242"/>
      <c r="J193" s="242"/>
      <c r="K193" s="300"/>
      <c r="M193" s="324"/>
      <c r="N193" s="361"/>
      <c r="O193" s="361"/>
      <c r="P193" s="361"/>
      <c r="Q193" s="361"/>
      <c r="R193" s="361"/>
      <c r="S193" s="361"/>
      <c r="T193" s="361"/>
      <c r="U193" s="361"/>
      <c r="V193" s="324"/>
      <c r="X193" s="301"/>
      <c r="Y193" s="386"/>
      <c r="Z193" s="387"/>
    </row>
    <row r="194" spans="1:76">
      <c r="B194" s="287" t="s">
        <v>177</v>
      </c>
      <c r="C194" s="465">
        <f>C25</f>
        <v>0</v>
      </c>
      <c r="D194" s="465"/>
      <c r="E194" s="288">
        <f>F25</f>
        <v>0</v>
      </c>
      <c r="F194" s="390" t="e">
        <f>IF(C194="-","-",VLOOKUP(C194,'Listas-2'!$B$12:$K$468,5,))</f>
        <v>#N/A</v>
      </c>
      <c r="G194" s="374">
        <f>IF(C194="-","-",G25-(G25*(I25)))</f>
        <v>0</v>
      </c>
      <c r="H194" s="375" t="e">
        <f>IF(C194="-","-",VLOOKUP(C194,'Listas-2'!$B$12:$K$468,8,))</f>
        <v>#N/A</v>
      </c>
      <c r="I194" s="390">
        <f>IF(C194="-","-",($J$181*E194))</f>
        <v>0</v>
      </c>
      <c r="J194" s="391" t="e">
        <f>IF(C194="-","-",ROUNDUP(I194/F194,0))</f>
        <v>#N/A</v>
      </c>
      <c r="K194" s="378" t="e">
        <f>IF(C194="-",0,(J194*G194))</f>
        <v>#N/A</v>
      </c>
      <c r="M194" s="324"/>
      <c r="N194" s="361"/>
      <c r="O194" s="361"/>
      <c r="P194" s="361"/>
      <c r="Q194" s="361"/>
      <c r="R194" s="361"/>
      <c r="S194" s="361"/>
      <c r="T194" s="361"/>
      <c r="U194" s="361"/>
      <c r="V194" s="324"/>
      <c r="X194" s="301"/>
      <c r="Y194" s="301"/>
      <c r="Z194" s="301"/>
    </row>
    <row r="195" spans="1:76">
      <c r="B195" s="287" t="s">
        <v>162</v>
      </c>
      <c r="C195" s="465" t="str">
        <f>C26</f>
        <v>-</v>
      </c>
      <c r="D195" s="465"/>
      <c r="E195" s="288" t="str">
        <f>F26</f>
        <v>-</v>
      </c>
      <c r="F195" s="376" t="str">
        <f>IF(C195="-","-",VLOOKUP(C195,'Listas-2'!$B$12:$K$468,5,))</f>
        <v>-</v>
      </c>
      <c r="G195" s="374" t="str">
        <f>IF(C195="-","-",G26-(G26*(I26)))</f>
        <v>-</v>
      </c>
      <c r="H195" s="375">
        <f>IF(C194="-","-",VLOOKUP(C195,'Listas-2'!$B$12:$K$468,8,))</f>
        <v>0</v>
      </c>
      <c r="I195" s="376" t="str">
        <f>IF(C195="-","-",($J$181*E195))</f>
        <v>-</v>
      </c>
      <c r="J195" s="391" t="str">
        <f>IF(C195="-","-",ROUNDUP(I195/F195,0))</f>
        <v>-</v>
      </c>
      <c r="K195" s="378">
        <f>IF(C195="-",0,(J195*G195))</f>
        <v>0</v>
      </c>
      <c r="M195" s="324"/>
      <c r="N195" s="361"/>
      <c r="O195" s="361"/>
      <c r="P195" s="361"/>
      <c r="Q195" s="361"/>
      <c r="R195" s="361"/>
      <c r="S195" s="361"/>
      <c r="T195" s="361"/>
      <c r="U195" s="361"/>
      <c r="V195" s="324"/>
      <c r="X195" s="301"/>
      <c r="Y195" s="301"/>
      <c r="Z195" s="301"/>
    </row>
    <row r="196" spans="1:76" s="271" customFormat="1">
      <c r="A196" s="258"/>
      <c r="B196" s="306" t="s">
        <v>314</v>
      </c>
      <c r="C196" s="481" t="str">
        <f>C27</f>
        <v>-</v>
      </c>
      <c r="D196" s="482"/>
      <c r="E196" s="288" t="str">
        <f>F27</f>
        <v>-</v>
      </c>
      <c r="F196" s="384" t="str">
        <f>IF(C196="-","-",VLOOKUP(C196,'Listas-2'!$B$12:$K$468,5,))</f>
        <v>-</v>
      </c>
      <c r="G196" s="374" t="str">
        <f>IF(C196="-","-",G27-(G27*(I27)))</f>
        <v>-</v>
      </c>
      <c r="H196" s="375">
        <f>IF(C194="-","-",VLOOKUP(C196,'Listas-2'!$B$12:$K$467,8,))</f>
        <v>0</v>
      </c>
      <c r="I196" s="384" t="str">
        <f>IF(C196="-","-",($J$181*E196))</f>
        <v>-</v>
      </c>
      <c r="J196" s="385" t="str">
        <f>IF(C196="-","-",ROUNDUP(I196/F196,0))</f>
        <v>-</v>
      </c>
      <c r="K196" s="378">
        <f>IF(C196="-",0,(J196*G196))</f>
        <v>0</v>
      </c>
      <c r="L196" s="258"/>
      <c r="M196" s="301"/>
      <c r="N196" s="361"/>
      <c r="O196" s="361"/>
      <c r="P196" s="361"/>
      <c r="Q196" s="361"/>
      <c r="R196" s="361"/>
      <c r="S196" s="361"/>
      <c r="T196" s="361"/>
      <c r="U196" s="361"/>
      <c r="V196" s="301"/>
      <c r="AH196" s="307"/>
      <c r="AJ196" s="301"/>
      <c r="AK196" s="301"/>
      <c r="AL196" s="301"/>
      <c r="AM196" s="301"/>
      <c r="AN196" s="301"/>
      <c r="AO196" s="301"/>
      <c r="AP196" s="301"/>
      <c r="AQ196" s="301"/>
      <c r="AR196" s="301"/>
      <c r="AS196" s="301"/>
      <c r="AT196" s="301"/>
      <c r="AU196" s="301"/>
      <c r="AV196" s="301"/>
      <c r="AW196" s="301"/>
      <c r="AX196" s="301"/>
      <c r="AY196" s="301"/>
      <c r="AZ196" s="301"/>
      <c r="BA196" s="301"/>
      <c r="BB196" s="301"/>
      <c r="BC196" s="301"/>
      <c r="BD196" s="301"/>
      <c r="BE196" s="301"/>
      <c r="BF196" s="301"/>
      <c r="BG196" s="301"/>
      <c r="BH196" s="301"/>
      <c r="BI196" s="301"/>
      <c r="BJ196" s="301"/>
      <c r="BK196" s="301"/>
      <c r="BL196" s="301"/>
      <c r="BM196" s="301"/>
      <c r="BN196" s="301"/>
      <c r="BO196" s="301"/>
      <c r="BP196" s="301"/>
      <c r="BQ196" s="301"/>
      <c r="BR196" s="301"/>
      <c r="BS196" s="301"/>
      <c r="BT196" s="301"/>
      <c r="BU196" s="301"/>
      <c r="BV196" s="301"/>
      <c r="BW196" s="301"/>
      <c r="BX196" s="301"/>
    </row>
    <row r="197" spans="1:76" ht="14.5" thickBot="1">
      <c r="B197" s="292" t="s">
        <v>363</v>
      </c>
      <c r="C197" s="240"/>
      <c r="D197" s="240"/>
      <c r="E197" s="242"/>
      <c r="F197" s="243"/>
      <c r="G197" s="243"/>
      <c r="H197" s="240"/>
      <c r="I197" s="240"/>
      <c r="J197" s="240"/>
      <c r="K197" s="300"/>
      <c r="M197" s="324"/>
      <c r="N197" s="361"/>
      <c r="O197" s="361"/>
      <c r="P197" s="361"/>
      <c r="Q197" s="361"/>
      <c r="R197" s="361"/>
      <c r="S197" s="361"/>
      <c r="T197" s="361"/>
      <c r="U197" s="361"/>
      <c r="V197" s="324"/>
    </row>
    <row r="198" spans="1:76" s="312" customFormat="1" ht="21" customHeight="1" thickBot="1">
      <c r="A198" s="309"/>
      <c r="B198" s="309"/>
      <c r="C198" s="483"/>
      <c r="D198" s="483"/>
      <c r="E198" s="310"/>
      <c r="F198" s="475" t="s">
        <v>355</v>
      </c>
      <c r="G198" s="476"/>
      <c r="H198" s="476"/>
      <c r="I198" s="476"/>
      <c r="J198" s="477"/>
      <c r="K198" s="393" t="e">
        <f>SUM(K185:K196)</f>
        <v>#N/A</v>
      </c>
      <c r="L198" s="309"/>
      <c r="M198" s="394"/>
      <c r="N198" s="394"/>
      <c r="O198" s="394"/>
      <c r="P198" s="394"/>
      <c r="Q198" s="394"/>
      <c r="R198" s="394"/>
      <c r="S198" s="394"/>
      <c r="T198" s="394"/>
      <c r="U198" s="394"/>
      <c r="V198" s="394"/>
      <c r="AH198" s="314"/>
    </row>
    <row r="199" spans="1:76">
      <c r="A199" s="315"/>
      <c r="B199" s="316"/>
      <c r="C199" s="316"/>
      <c r="D199" s="316"/>
      <c r="E199" s="316"/>
      <c r="F199" s="316"/>
      <c r="G199" s="316"/>
      <c r="H199" s="316"/>
      <c r="I199" s="316"/>
      <c r="J199" s="316"/>
      <c r="K199" s="317"/>
      <c r="M199" s="324"/>
      <c r="N199" s="361"/>
      <c r="O199" s="361"/>
      <c r="P199" s="361"/>
      <c r="Q199" s="361"/>
      <c r="R199" s="361"/>
      <c r="S199" s="361"/>
      <c r="T199" s="361"/>
      <c r="U199" s="361"/>
      <c r="V199" s="324"/>
    </row>
    <row r="200" spans="1:76">
      <c r="A200" s="315"/>
      <c r="B200" s="316"/>
      <c r="C200" s="316"/>
      <c r="D200" s="316"/>
      <c r="E200" s="316"/>
      <c r="F200" s="316"/>
      <c r="G200" s="316"/>
      <c r="H200" s="316"/>
      <c r="I200" s="316"/>
      <c r="J200" s="316"/>
      <c r="K200" s="317"/>
      <c r="M200" s="324"/>
      <c r="N200" s="361"/>
      <c r="O200" s="361"/>
      <c r="P200" s="361"/>
      <c r="Q200" s="361"/>
      <c r="R200" s="361"/>
      <c r="S200" s="361"/>
      <c r="T200" s="361"/>
      <c r="U200" s="361"/>
      <c r="V200" s="324"/>
    </row>
    <row r="201" spans="1:76">
      <c r="B201" s="240"/>
      <c r="C201" s="242"/>
      <c r="D201" s="242"/>
      <c r="E201" s="242"/>
      <c r="F201" s="318"/>
      <c r="G201" s="318"/>
      <c r="H201" s="318"/>
      <c r="I201" s="318"/>
      <c r="J201" s="318"/>
      <c r="K201" s="319"/>
      <c r="M201" s="324"/>
      <c r="N201" s="361"/>
      <c r="O201" s="361"/>
      <c r="P201" s="361"/>
      <c r="Q201" s="361"/>
      <c r="R201" s="361"/>
      <c r="S201" s="361"/>
      <c r="T201" s="361"/>
      <c r="U201" s="361"/>
      <c r="V201" s="324"/>
    </row>
    <row r="202" spans="1:76">
      <c r="A202" s="315"/>
      <c r="B202" s="320"/>
      <c r="C202" s="320"/>
      <c r="D202" s="320"/>
      <c r="E202" s="320"/>
      <c r="F202" s="320"/>
      <c r="G202" s="320"/>
      <c r="H202" s="320"/>
      <c r="I202" s="320"/>
      <c r="J202" s="320"/>
      <c r="K202" s="321"/>
      <c r="M202" s="324"/>
      <c r="N202" s="361"/>
      <c r="O202" s="361"/>
      <c r="P202" s="361"/>
      <c r="Q202" s="361"/>
      <c r="R202" s="361"/>
      <c r="S202" s="361"/>
      <c r="T202" s="361"/>
      <c r="U202" s="361"/>
      <c r="V202" s="324"/>
    </row>
    <row r="203" spans="1:76">
      <c r="A203" s="315"/>
      <c r="B203" s="316"/>
      <c r="C203" s="316"/>
      <c r="D203" s="316"/>
      <c r="E203" s="316"/>
      <c r="F203" s="316"/>
      <c r="G203" s="316"/>
      <c r="H203" s="316"/>
      <c r="I203" s="316"/>
      <c r="J203" s="316"/>
      <c r="K203" s="317"/>
      <c r="M203" s="324"/>
      <c r="N203" s="361"/>
      <c r="O203" s="361"/>
      <c r="P203" s="361"/>
      <c r="Q203" s="361"/>
      <c r="R203" s="361"/>
      <c r="S203" s="361"/>
      <c r="T203" s="361"/>
      <c r="U203" s="361"/>
      <c r="V203" s="324"/>
    </row>
    <row r="204" spans="1:76">
      <c r="A204" s="315"/>
      <c r="B204" s="316"/>
      <c r="C204" s="316"/>
      <c r="D204" s="316"/>
      <c r="E204" s="316"/>
      <c r="F204" s="316"/>
      <c r="G204" s="316"/>
      <c r="H204" s="316"/>
      <c r="I204" s="316"/>
      <c r="J204" s="316"/>
      <c r="K204" s="317"/>
      <c r="M204" s="324"/>
      <c r="N204" s="361"/>
      <c r="O204" s="361"/>
      <c r="P204" s="361"/>
      <c r="Q204" s="361"/>
      <c r="R204" s="361"/>
      <c r="S204" s="361"/>
      <c r="T204" s="361"/>
      <c r="U204" s="361"/>
      <c r="V204" s="324"/>
    </row>
    <row r="205" spans="1:76">
      <c r="A205" s="315"/>
      <c r="B205" s="316"/>
      <c r="C205" s="316"/>
      <c r="D205" s="316"/>
      <c r="E205" s="316"/>
      <c r="F205" s="316"/>
      <c r="G205" s="316"/>
      <c r="H205" s="316"/>
      <c r="I205" s="316"/>
      <c r="J205" s="316"/>
      <c r="K205" s="317"/>
      <c r="M205" s="324"/>
      <c r="N205" s="361"/>
      <c r="O205" s="361"/>
      <c r="P205" s="361"/>
      <c r="Q205" s="361"/>
      <c r="R205" s="361"/>
      <c r="S205" s="361"/>
      <c r="T205" s="361"/>
      <c r="U205" s="361"/>
      <c r="V205" s="324"/>
    </row>
    <row r="206" spans="1:76">
      <c r="B206" s="240"/>
      <c r="C206" s="242"/>
      <c r="D206" s="242"/>
      <c r="E206" s="242"/>
      <c r="F206" s="318"/>
      <c r="G206" s="318"/>
      <c r="H206" s="318"/>
      <c r="I206" s="318"/>
      <c r="J206" s="318"/>
      <c r="K206" s="319"/>
      <c r="M206" s="324"/>
      <c r="N206" s="361"/>
      <c r="O206" s="361"/>
      <c r="P206" s="361"/>
      <c r="Q206" s="361"/>
      <c r="R206" s="361"/>
      <c r="S206" s="361"/>
      <c r="T206" s="361"/>
      <c r="U206" s="361"/>
      <c r="V206" s="324"/>
    </row>
    <row r="207" spans="1:76">
      <c r="B207" s="269" t="s">
        <v>341</v>
      </c>
      <c r="C207" s="242"/>
      <c r="D207" s="242"/>
      <c r="E207" s="242"/>
      <c r="F207" s="318"/>
      <c r="G207" s="318"/>
      <c r="H207" s="490" t="s">
        <v>300</v>
      </c>
      <c r="I207" s="490"/>
      <c r="J207" s="491"/>
      <c r="K207" s="491"/>
      <c r="M207" s="324"/>
      <c r="N207" s="361"/>
      <c r="O207" s="361"/>
      <c r="P207" s="361"/>
      <c r="Q207" s="361"/>
      <c r="R207" s="361"/>
      <c r="S207" s="361"/>
      <c r="T207" s="361"/>
      <c r="U207" s="361"/>
      <c r="V207" s="324"/>
    </row>
    <row r="208" spans="1:76">
      <c r="B208" s="240"/>
      <c r="C208" s="242"/>
      <c r="D208" s="242"/>
      <c r="E208" s="242"/>
      <c r="F208" s="318"/>
      <c r="G208" s="318"/>
      <c r="H208" s="318"/>
      <c r="I208" s="318"/>
      <c r="J208" s="318"/>
      <c r="K208" s="319"/>
      <c r="M208" s="324"/>
      <c r="N208" s="361"/>
      <c r="O208" s="361"/>
      <c r="P208" s="361"/>
      <c r="Q208" s="361"/>
      <c r="R208" s="361"/>
      <c r="S208" s="361"/>
      <c r="T208" s="361"/>
      <c r="U208" s="361"/>
      <c r="V208" s="324"/>
    </row>
    <row r="209" spans="1:34">
      <c r="B209" s="287" t="s">
        <v>3</v>
      </c>
      <c r="C209" s="465" t="str">
        <f t="shared" ref="C209:C215" si="8">C40</f>
        <v>webertherm BASEGEL gris</v>
      </c>
      <c r="D209" s="465"/>
      <c r="E209" s="288">
        <f t="shared" ref="E209:E215" si="9">F40</f>
        <v>5</v>
      </c>
      <c r="F209" s="376">
        <f>IF(C209="-","-",VLOOKUP(C209,'Listas-2'!$B$12:$K$468,5,))</f>
        <v>25</v>
      </c>
      <c r="G209" s="374">
        <f>IF(C209="-","-",G40-(G40*(I40)))</f>
        <v>27.98</v>
      </c>
      <c r="H209" s="375" t="str">
        <f>IF(C209="-","-",VLOOKUP(C209,'Listas-2'!$B$12:$K$468,8,))</f>
        <v>saco</v>
      </c>
      <c r="I209" s="380">
        <f t="shared" ref="I209:I215" si="10">IF(C209="-","-",E209*$J$207)</f>
        <v>0</v>
      </c>
      <c r="J209" s="377">
        <f>IF(C209="-","-",ROUNDUP((I209/F209),0))</f>
        <v>0</v>
      </c>
      <c r="K209" s="378">
        <f t="shared" ref="K209:K215" si="11">IF(C209="-",0,J209*G209)</f>
        <v>0</v>
      </c>
      <c r="M209" s="324"/>
      <c r="N209" s="361"/>
      <c r="O209" s="361"/>
      <c r="P209" s="361"/>
      <c r="Q209" s="361"/>
      <c r="R209" s="361"/>
      <c r="S209" s="361"/>
      <c r="T209" s="361"/>
      <c r="U209" s="361"/>
      <c r="V209" s="324"/>
    </row>
    <row r="210" spans="1:34">
      <c r="B210" s="287" t="s">
        <v>6</v>
      </c>
      <c r="C210" s="465" t="str">
        <f t="shared" si="8"/>
        <v>webertherm PLACA XPS 80</v>
      </c>
      <c r="D210" s="465"/>
      <c r="E210" s="288">
        <f t="shared" si="9"/>
        <v>1</v>
      </c>
      <c r="F210" s="395">
        <f>IF(C210="-","-",VLOOKUP(C210,'Listas-2'!$B$12:$K$468,5,))</f>
        <v>3.75</v>
      </c>
      <c r="G210" s="374">
        <f>IF(C210="-","-",H41-(H41*(I41)))</f>
        <v>35.659999999999997</v>
      </c>
      <c r="H210" s="375" t="str">
        <f>IF(C210="-","-",VLOOKUP(C210,'Listas-2'!$B$12:$K$468,8,))</f>
        <v>m²</v>
      </c>
      <c r="I210" s="380">
        <f t="shared" si="10"/>
        <v>0</v>
      </c>
      <c r="J210" s="381">
        <f>IF(C210="-","-",I210)</f>
        <v>0</v>
      </c>
      <c r="K210" s="378">
        <f t="shared" si="11"/>
        <v>0</v>
      </c>
      <c r="M210" s="324"/>
      <c r="N210" s="361"/>
      <c r="O210" s="361"/>
      <c r="P210" s="361"/>
      <c r="Q210" s="361"/>
      <c r="R210" s="361"/>
      <c r="S210" s="361"/>
      <c r="T210" s="361"/>
      <c r="U210" s="361"/>
      <c r="V210" s="324"/>
    </row>
    <row r="211" spans="1:34">
      <c r="B211" s="287" t="s">
        <v>7</v>
      </c>
      <c r="C211" s="465" t="str">
        <f t="shared" si="8"/>
        <v>webetherm ESPIGA SRD-5 155</v>
      </c>
      <c r="D211" s="465"/>
      <c r="E211" s="288">
        <f t="shared" si="9"/>
        <v>6</v>
      </c>
      <c r="F211" s="396">
        <f>IF(C211="-","-",VLOOKUP(C211,'Listas-2'!$B$12:$K$468,5,))</f>
        <v>100</v>
      </c>
      <c r="G211" s="374">
        <f>IF(C211="-","-",G42-(G42*(I42)))</f>
        <v>136.35</v>
      </c>
      <c r="H211" s="375" t="str">
        <f>IF(C211="-","-",VLOOKUP(C211,'Listas-2'!$B$12:$K$468,8,))</f>
        <v>caja</v>
      </c>
      <c r="I211" s="384">
        <f t="shared" si="10"/>
        <v>0</v>
      </c>
      <c r="J211" s="385">
        <f>IF(C211="-","-",ROUNDUP((I211/F211),0))</f>
        <v>0</v>
      </c>
      <c r="K211" s="378">
        <f t="shared" si="11"/>
        <v>0</v>
      </c>
      <c r="M211" s="324"/>
      <c r="N211" s="361"/>
      <c r="O211" s="361"/>
      <c r="P211" s="361"/>
      <c r="Q211" s="361"/>
      <c r="R211" s="361"/>
      <c r="S211" s="361"/>
      <c r="T211" s="361"/>
      <c r="U211" s="361"/>
      <c r="V211" s="324"/>
    </row>
    <row r="212" spans="1:34">
      <c r="B212" s="473" t="s">
        <v>9</v>
      </c>
      <c r="C212" s="465" t="str">
        <f t="shared" si="8"/>
        <v>webertherm BASEGEL gris</v>
      </c>
      <c r="D212" s="465"/>
      <c r="E212" s="288">
        <f t="shared" si="9"/>
        <v>5</v>
      </c>
      <c r="F212" s="376">
        <f>IF(C212="-","-",VLOOKUP(C212,'Listas-2'!$B$12:$K$468,5,))</f>
        <v>25</v>
      </c>
      <c r="G212" s="374">
        <f>IF(C212="-","-",G43-(G43*(I43)))</f>
        <v>27.98</v>
      </c>
      <c r="H212" s="375" t="str">
        <f>IF(C212="-","-",VLOOKUP(C212,'Listas-2'!$B$12:$K$468,8,))</f>
        <v>saco</v>
      </c>
      <c r="I212" s="376">
        <f t="shared" si="10"/>
        <v>0</v>
      </c>
      <c r="J212" s="377">
        <f>IF(C212="-","-",ROUNDUP((I212/F212),0))</f>
        <v>0</v>
      </c>
      <c r="K212" s="378">
        <f t="shared" si="11"/>
        <v>0</v>
      </c>
      <c r="M212" s="324"/>
      <c r="N212" s="361"/>
      <c r="O212" s="361"/>
      <c r="P212" s="361"/>
      <c r="Q212" s="361"/>
      <c r="R212" s="361"/>
      <c r="S212" s="361"/>
      <c r="T212" s="361"/>
      <c r="U212" s="361"/>
      <c r="V212" s="324"/>
    </row>
    <row r="213" spans="1:34">
      <c r="B213" s="473"/>
      <c r="C213" s="465" t="str">
        <f t="shared" si="8"/>
        <v>webertherm MALLA 160</v>
      </c>
      <c r="D213" s="465"/>
      <c r="E213" s="288">
        <f t="shared" si="9"/>
        <v>1.1000000000000001</v>
      </c>
      <c r="F213" s="395">
        <f>IF(C213="-","-",VLOOKUP(C213,'Listas-2'!$B$12:$K$468,5,))</f>
        <v>55</v>
      </c>
      <c r="G213" s="374">
        <f>IF(C213="-","-",G44-(G44*(I44)))</f>
        <v>133.94</v>
      </c>
      <c r="H213" s="375" t="str">
        <f>IF(C213="-","-",VLOOKUP(C213,'Listas-2'!$B$12:$K$468,8,))</f>
        <v>rollo</v>
      </c>
      <c r="I213" s="380">
        <f t="shared" si="10"/>
        <v>0</v>
      </c>
      <c r="J213" s="388">
        <f>IF(C213="-","-",ROUNDUP((I213/F213),0))</f>
        <v>0</v>
      </c>
      <c r="K213" s="378">
        <f t="shared" si="11"/>
        <v>0</v>
      </c>
      <c r="M213" s="324"/>
      <c r="N213" s="361"/>
      <c r="O213" s="361"/>
      <c r="P213" s="361"/>
      <c r="Q213" s="361"/>
      <c r="R213" s="361"/>
      <c r="S213" s="361"/>
      <c r="T213" s="361"/>
      <c r="U213" s="361"/>
      <c r="V213" s="324"/>
    </row>
    <row r="214" spans="1:34">
      <c r="B214" s="473" t="s">
        <v>11</v>
      </c>
      <c r="C214" s="465" t="str">
        <f t="shared" si="8"/>
        <v>Procolor Renovatherm Imprimación 15 l</v>
      </c>
      <c r="D214" s="465"/>
      <c r="E214" s="288" t="e">
        <f t="shared" si="9"/>
        <v>#N/A</v>
      </c>
      <c r="F214" s="390" t="e">
        <f>IF(C214="-","-",VLOOKUP(C214,'Listas-2'!$B$12:$K$468,5,))</f>
        <v>#N/A</v>
      </c>
      <c r="G214" s="374" t="e">
        <f>IF(C214="-","-",G45-(G45*(I45)))</f>
        <v>#N/A</v>
      </c>
      <c r="H214" s="375" t="e">
        <f>IF(C214="-","-",VLOOKUP(C214,'Listas-2'!$B$12:$K$468,8,))</f>
        <v>#N/A</v>
      </c>
      <c r="I214" s="380" t="e">
        <f t="shared" si="10"/>
        <v>#N/A</v>
      </c>
      <c r="J214" s="388" t="e">
        <f>IF(C214="-","-",ROUNDUP((I214/F214),0))</f>
        <v>#N/A</v>
      </c>
      <c r="K214" s="378" t="e">
        <f t="shared" si="11"/>
        <v>#N/A</v>
      </c>
      <c r="M214" s="324"/>
      <c r="N214" s="361"/>
      <c r="O214" s="361"/>
      <c r="P214" s="361"/>
      <c r="Q214" s="361"/>
      <c r="R214" s="361"/>
      <c r="S214" s="361"/>
      <c r="T214" s="361"/>
      <c r="U214" s="361"/>
      <c r="V214" s="324"/>
    </row>
    <row r="215" spans="1:34">
      <c r="B215" s="473"/>
      <c r="C215" s="465" t="str">
        <f t="shared" si="8"/>
        <v>Procolor Renovatherm Mortero Acrílico 1.0 BN</v>
      </c>
      <c r="D215" s="465"/>
      <c r="E215" s="288" t="e">
        <f t="shared" si="9"/>
        <v>#N/A</v>
      </c>
      <c r="F215" s="376" t="e">
        <f>IF(C215="-","-",VLOOKUP(C215,'Listas-2'!$B$12:$K$468,5,))</f>
        <v>#N/A</v>
      </c>
      <c r="G215" s="374" t="e">
        <f>IF(C215="-","-",G46-(G46*(I46)))</f>
        <v>#N/A</v>
      </c>
      <c r="H215" s="375" t="e">
        <f>IF(C215="-","-",VLOOKUP(C215,'Listas-2'!$B$12:$K$420,8,))</f>
        <v>#N/A</v>
      </c>
      <c r="I215" s="380" t="e">
        <f t="shared" si="10"/>
        <v>#N/A</v>
      </c>
      <c r="J215" s="391" t="e">
        <f>IF(C215="-","-",ROUNDUP((I215/F215),0))</f>
        <v>#N/A</v>
      </c>
      <c r="K215" s="378" t="e">
        <f t="shared" si="11"/>
        <v>#N/A</v>
      </c>
      <c r="M215" s="324"/>
      <c r="N215" s="361"/>
      <c r="O215" s="361"/>
      <c r="P215" s="361"/>
      <c r="Q215" s="361"/>
      <c r="R215" s="361"/>
      <c r="S215" s="361"/>
      <c r="T215" s="361"/>
      <c r="U215" s="361"/>
      <c r="V215" s="324"/>
    </row>
    <row r="216" spans="1:34">
      <c r="B216" s="292" t="s">
        <v>363</v>
      </c>
      <c r="C216" s="328"/>
      <c r="D216" s="242"/>
      <c r="E216" s="242"/>
      <c r="F216" s="318"/>
      <c r="G216" s="318"/>
      <c r="H216" s="318"/>
      <c r="I216" s="318"/>
      <c r="J216" s="318"/>
      <c r="K216" s="319"/>
      <c r="M216" s="324"/>
      <c r="N216" s="361"/>
      <c r="O216" s="361"/>
      <c r="P216" s="361"/>
      <c r="Q216" s="361"/>
      <c r="R216" s="361"/>
      <c r="S216" s="361"/>
      <c r="T216" s="361"/>
      <c r="U216" s="361"/>
      <c r="V216" s="324"/>
    </row>
    <row r="217" spans="1:34" ht="14.5" thickBot="1">
      <c r="B217" s="328"/>
      <c r="C217" s="328"/>
      <c r="D217" s="242"/>
      <c r="E217" s="242"/>
      <c r="F217" s="318"/>
      <c r="G217" s="318"/>
      <c r="H217" s="318"/>
      <c r="I217" s="318"/>
      <c r="J217" s="318"/>
      <c r="K217" s="319"/>
      <c r="M217" s="324"/>
      <c r="N217" s="361"/>
      <c r="O217" s="361"/>
      <c r="P217" s="361"/>
      <c r="Q217" s="361"/>
      <c r="R217" s="361"/>
      <c r="S217" s="361"/>
      <c r="T217" s="361"/>
      <c r="U217" s="361"/>
      <c r="V217" s="324"/>
    </row>
    <row r="218" spans="1:34" s="312" customFormat="1" ht="22.15" customHeight="1" thickBot="1">
      <c r="A218" s="309"/>
      <c r="B218" s="309"/>
      <c r="C218" s="483"/>
      <c r="D218" s="483"/>
      <c r="E218" s="310"/>
      <c r="F218" s="475" t="s">
        <v>355</v>
      </c>
      <c r="G218" s="476"/>
      <c r="H218" s="476"/>
      <c r="I218" s="476"/>
      <c r="J218" s="477"/>
      <c r="K218" s="393" t="e">
        <f>SUM(K209:K217)</f>
        <v>#N/A</v>
      </c>
      <c r="L218" s="309"/>
      <c r="M218" s="394"/>
      <c r="N218" s="394"/>
      <c r="O218" s="394"/>
      <c r="P218" s="394"/>
      <c r="Q218" s="394"/>
      <c r="R218" s="394"/>
      <c r="S218" s="394"/>
      <c r="T218" s="394"/>
      <c r="U218" s="394"/>
      <c r="V218" s="394"/>
      <c r="AH218" s="314"/>
    </row>
    <row r="219" spans="1:34">
      <c r="A219" s="315"/>
      <c r="B219" s="316"/>
      <c r="C219" s="316"/>
      <c r="D219" s="316"/>
      <c r="E219" s="316"/>
      <c r="F219" s="316"/>
      <c r="G219" s="316"/>
      <c r="H219" s="316"/>
      <c r="I219" s="316"/>
      <c r="J219" s="316"/>
      <c r="K219" s="317"/>
      <c r="M219" s="324"/>
      <c r="N219" s="361"/>
      <c r="O219" s="361"/>
      <c r="P219" s="361"/>
      <c r="Q219" s="361"/>
      <c r="R219" s="361"/>
      <c r="S219" s="361"/>
      <c r="T219" s="361"/>
      <c r="U219" s="361"/>
      <c r="V219" s="324"/>
    </row>
    <row r="220" spans="1:34">
      <c r="B220" s="240"/>
      <c r="C220" s="242"/>
      <c r="D220" s="242"/>
      <c r="E220" s="242"/>
      <c r="F220" s="318"/>
      <c r="G220" s="318"/>
      <c r="H220" s="318"/>
      <c r="I220" s="318"/>
      <c r="J220" s="318"/>
      <c r="K220" s="319"/>
      <c r="M220" s="324"/>
      <c r="N220" s="361"/>
      <c r="O220" s="361"/>
      <c r="P220" s="361"/>
      <c r="Q220" s="361"/>
      <c r="R220" s="361"/>
      <c r="S220" s="361"/>
      <c r="T220" s="361"/>
      <c r="U220" s="361"/>
      <c r="V220" s="324"/>
    </row>
    <row r="221" spans="1:34">
      <c r="A221" s="315"/>
      <c r="B221" s="316"/>
      <c r="C221" s="316"/>
      <c r="D221" s="316"/>
      <c r="E221" s="316"/>
      <c r="F221" s="316"/>
      <c r="G221" s="316"/>
      <c r="H221" s="316"/>
      <c r="I221" s="316"/>
      <c r="J221" s="316"/>
      <c r="K221" s="317"/>
      <c r="M221" s="324"/>
      <c r="N221" s="361"/>
      <c r="O221" s="361"/>
      <c r="P221" s="361"/>
      <c r="Q221" s="361"/>
      <c r="R221" s="361"/>
      <c r="S221" s="361"/>
      <c r="T221" s="361"/>
      <c r="U221" s="361"/>
      <c r="V221" s="324"/>
    </row>
    <row r="222" spans="1:34">
      <c r="A222" s="315"/>
      <c r="B222" s="316"/>
      <c r="C222" s="316"/>
      <c r="D222" s="316"/>
      <c r="E222" s="316"/>
      <c r="F222" s="316"/>
      <c r="G222" s="316"/>
      <c r="H222" s="316"/>
      <c r="I222" s="316"/>
      <c r="J222" s="316"/>
      <c r="K222" s="317"/>
      <c r="M222" s="324"/>
      <c r="N222" s="361"/>
      <c r="O222" s="361"/>
      <c r="P222" s="361"/>
      <c r="Q222" s="361"/>
      <c r="R222" s="361"/>
      <c r="S222" s="361"/>
      <c r="T222" s="361"/>
      <c r="U222" s="361"/>
      <c r="V222" s="324"/>
    </row>
    <row r="223" spans="1:34">
      <c r="A223" s="315"/>
      <c r="B223" s="316"/>
      <c r="C223" s="316"/>
      <c r="D223" s="316"/>
      <c r="E223" s="316"/>
      <c r="F223" s="316"/>
      <c r="G223" s="316"/>
      <c r="H223" s="316"/>
      <c r="I223" s="316"/>
      <c r="J223" s="316"/>
      <c r="K223" s="317"/>
      <c r="M223" s="324"/>
      <c r="N223" s="361"/>
      <c r="O223" s="361"/>
      <c r="P223" s="361"/>
      <c r="Q223" s="361"/>
      <c r="R223" s="361"/>
      <c r="S223" s="361"/>
      <c r="T223" s="361"/>
      <c r="U223" s="361"/>
      <c r="V223" s="324"/>
    </row>
    <row r="224" spans="1:34">
      <c r="B224" s="240"/>
      <c r="C224" s="240"/>
      <c r="D224" s="240"/>
      <c r="E224" s="242"/>
      <c r="F224" s="243"/>
      <c r="G224" s="243"/>
      <c r="H224" s="240"/>
      <c r="I224" s="240"/>
      <c r="J224" s="240"/>
      <c r="K224" s="244"/>
      <c r="M224" s="324"/>
      <c r="N224" s="361"/>
      <c r="O224" s="361"/>
      <c r="P224" s="361"/>
      <c r="Q224" s="361"/>
      <c r="R224" s="361"/>
      <c r="S224" s="361"/>
      <c r="T224" s="361"/>
      <c r="U224" s="361"/>
      <c r="V224" s="324"/>
    </row>
    <row r="225" spans="1:76" s="271" customFormat="1">
      <c r="A225" s="258"/>
      <c r="B225" s="258"/>
      <c r="C225" s="258"/>
      <c r="D225" s="258"/>
      <c r="E225" s="270"/>
      <c r="F225" s="293"/>
      <c r="G225" s="293"/>
      <c r="H225" s="479"/>
      <c r="I225" s="479"/>
      <c r="J225" s="479"/>
      <c r="K225" s="352"/>
      <c r="L225" s="258"/>
      <c r="N225" s="303"/>
      <c r="O225" s="303"/>
      <c r="P225" s="303"/>
      <c r="Q225" s="303"/>
      <c r="R225" s="303"/>
      <c r="S225" s="303"/>
      <c r="T225" s="303"/>
      <c r="U225" s="303"/>
      <c r="AH225" s="307"/>
      <c r="AJ225" s="301"/>
      <c r="AK225" s="301"/>
      <c r="AL225" s="301"/>
      <c r="AM225" s="301"/>
      <c r="AN225" s="301"/>
      <c r="AO225" s="301"/>
      <c r="AP225" s="301"/>
      <c r="AQ225" s="301"/>
      <c r="AR225" s="301"/>
      <c r="AS225" s="301"/>
      <c r="AT225" s="301"/>
      <c r="AU225" s="301"/>
      <c r="AV225" s="301"/>
      <c r="AW225" s="301"/>
      <c r="AX225" s="301"/>
      <c r="AY225" s="301"/>
      <c r="AZ225" s="301"/>
      <c r="BA225" s="301"/>
      <c r="BB225" s="301"/>
      <c r="BC225" s="301"/>
      <c r="BD225" s="301"/>
      <c r="BE225" s="301"/>
      <c r="BF225" s="301"/>
      <c r="BG225" s="301"/>
      <c r="BH225" s="301"/>
      <c r="BI225" s="301"/>
      <c r="BJ225" s="301"/>
      <c r="BK225" s="301"/>
      <c r="BL225" s="301"/>
      <c r="BM225" s="301"/>
      <c r="BN225" s="301"/>
      <c r="BO225" s="301"/>
      <c r="BP225" s="301"/>
      <c r="BQ225" s="301"/>
      <c r="BR225" s="301"/>
      <c r="BS225" s="301"/>
      <c r="BT225" s="301"/>
      <c r="BU225" s="301"/>
      <c r="BV225" s="301"/>
      <c r="BW225" s="301"/>
      <c r="BX225" s="301"/>
    </row>
    <row r="226" spans="1:76" s="240" customFormat="1" ht="1.9" customHeight="1">
      <c r="E226" s="242"/>
      <c r="F226" s="243"/>
      <c r="G226" s="243"/>
      <c r="K226" s="244"/>
      <c r="M226" s="245"/>
      <c r="N226" s="303"/>
      <c r="O226" s="303"/>
      <c r="P226" s="303"/>
      <c r="Q226" s="303"/>
      <c r="R226" s="303"/>
      <c r="S226" s="303"/>
      <c r="T226" s="303"/>
      <c r="U226" s="303"/>
      <c r="V226" s="245"/>
      <c r="W226" s="245"/>
      <c r="X226" s="245"/>
      <c r="Y226" s="245"/>
      <c r="Z226" s="245"/>
      <c r="AA226" s="245"/>
      <c r="AB226" s="245"/>
      <c r="AC226" s="245"/>
      <c r="AD226" s="245"/>
      <c r="AE226" s="245"/>
      <c r="AF226" s="245"/>
      <c r="AG226" s="245"/>
      <c r="AH226" s="246"/>
      <c r="AI226" s="245"/>
      <c r="AJ226" s="324"/>
      <c r="AK226" s="324"/>
      <c r="AL226" s="324"/>
      <c r="AM226" s="324"/>
      <c r="AN226" s="324"/>
      <c r="AO226" s="324"/>
      <c r="AP226" s="324"/>
      <c r="AQ226" s="324"/>
      <c r="AR226" s="324"/>
      <c r="AS226" s="324"/>
      <c r="AT226" s="324"/>
      <c r="AU226" s="324"/>
      <c r="AV226" s="324"/>
      <c r="AW226" s="324"/>
      <c r="AX226" s="324"/>
      <c r="AY226" s="324"/>
      <c r="AZ226" s="324"/>
      <c r="BA226" s="324"/>
      <c r="BB226" s="324"/>
      <c r="BC226" s="324"/>
      <c r="BD226" s="324"/>
      <c r="BE226" s="324"/>
      <c r="BF226" s="324"/>
      <c r="BG226" s="324"/>
      <c r="BH226" s="324"/>
      <c r="BI226" s="324"/>
      <c r="BJ226" s="324"/>
      <c r="BK226" s="324"/>
      <c r="BL226" s="324"/>
      <c r="BM226" s="324"/>
      <c r="BN226" s="324"/>
      <c r="BO226" s="324"/>
      <c r="BP226" s="324"/>
      <c r="BQ226" s="324"/>
      <c r="BR226" s="324"/>
      <c r="BS226" s="324"/>
      <c r="BT226" s="324"/>
      <c r="BU226" s="324"/>
      <c r="BV226" s="324"/>
      <c r="BW226" s="324"/>
      <c r="BX226" s="324"/>
    </row>
    <row r="227" spans="1:76" s="240" customFormat="1" ht="1.9" customHeight="1">
      <c r="E227" s="242"/>
      <c r="F227" s="243"/>
      <c r="G227" s="243"/>
      <c r="K227" s="244"/>
      <c r="M227" s="245"/>
      <c r="N227" s="303"/>
      <c r="O227" s="303"/>
      <c r="P227" s="303"/>
      <c r="Q227" s="303"/>
      <c r="R227" s="303"/>
      <c r="S227" s="303"/>
      <c r="T227" s="303"/>
      <c r="U227" s="303"/>
      <c r="V227" s="245"/>
      <c r="W227" s="245"/>
      <c r="X227" s="245"/>
      <c r="Y227" s="245"/>
      <c r="Z227" s="245"/>
      <c r="AA227" s="245"/>
      <c r="AB227" s="245"/>
      <c r="AC227" s="245"/>
      <c r="AD227" s="245"/>
      <c r="AE227" s="245"/>
      <c r="AF227" s="245"/>
      <c r="AG227" s="245"/>
      <c r="AH227" s="246"/>
      <c r="AI227" s="245"/>
      <c r="AJ227" s="324"/>
      <c r="AK227" s="324"/>
      <c r="AL227" s="324"/>
      <c r="AM227" s="324"/>
      <c r="AN227" s="324"/>
      <c r="AO227" s="324"/>
      <c r="AP227" s="324"/>
      <c r="AQ227" s="324"/>
      <c r="AR227" s="324"/>
      <c r="AS227" s="324"/>
      <c r="AT227" s="324"/>
      <c r="AU227" s="324"/>
      <c r="AV227" s="324"/>
      <c r="AW227" s="324"/>
      <c r="AX227" s="324"/>
      <c r="AY227" s="324"/>
      <c r="AZ227" s="324"/>
      <c r="BA227" s="324"/>
      <c r="BB227" s="324"/>
      <c r="BC227" s="324"/>
      <c r="BD227" s="324"/>
      <c r="BE227" s="324"/>
      <c r="BF227" s="324"/>
      <c r="BG227" s="324"/>
      <c r="BH227" s="324"/>
      <c r="BI227" s="324"/>
      <c r="BJ227" s="324"/>
      <c r="BK227" s="324"/>
      <c r="BL227" s="324"/>
      <c r="BM227" s="324"/>
      <c r="BN227" s="324"/>
      <c r="BO227" s="324"/>
      <c r="BP227" s="324"/>
      <c r="BQ227" s="324"/>
      <c r="BR227" s="324"/>
      <c r="BS227" s="324"/>
      <c r="BT227" s="324"/>
      <c r="BU227" s="324"/>
      <c r="BV227" s="324"/>
      <c r="BW227" s="324"/>
      <c r="BX227" s="324"/>
    </row>
    <row r="228" spans="1:76" s="240" customFormat="1" ht="1.9" customHeight="1">
      <c r="E228" s="242"/>
      <c r="F228" s="243"/>
      <c r="G228" s="243"/>
      <c r="K228" s="244"/>
      <c r="M228" s="245"/>
      <c r="N228" s="303"/>
      <c r="O228" s="303"/>
      <c r="P228" s="303"/>
      <c r="Q228" s="303"/>
      <c r="R228" s="303"/>
      <c r="S228" s="303"/>
      <c r="T228" s="303"/>
      <c r="U228" s="303"/>
      <c r="V228" s="245"/>
      <c r="W228" s="245"/>
      <c r="X228" s="245"/>
      <c r="Y228" s="245"/>
      <c r="Z228" s="245"/>
      <c r="AA228" s="245"/>
      <c r="AB228" s="245"/>
      <c r="AC228" s="245"/>
      <c r="AD228" s="245"/>
      <c r="AE228" s="245"/>
      <c r="AF228" s="245"/>
      <c r="AG228" s="245"/>
      <c r="AH228" s="246"/>
      <c r="AI228" s="245"/>
      <c r="AJ228" s="324"/>
      <c r="AK228" s="324"/>
      <c r="AL228" s="324"/>
      <c r="AM228" s="324"/>
      <c r="AN228" s="324"/>
      <c r="AO228" s="324"/>
      <c r="AP228" s="324"/>
      <c r="AQ228" s="324"/>
      <c r="AR228" s="324"/>
      <c r="AS228" s="324"/>
      <c r="AT228" s="324"/>
      <c r="AU228" s="324"/>
      <c r="AV228" s="324"/>
      <c r="AW228" s="324"/>
      <c r="AX228" s="324"/>
      <c r="AY228" s="324"/>
      <c r="AZ228" s="324"/>
      <c r="BA228" s="324"/>
      <c r="BB228" s="324"/>
      <c r="BC228" s="324"/>
      <c r="BD228" s="324"/>
      <c r="BE228" s="324"/>
      <c r="BF228" s="324"/>
      <c r="BG228" s="324"/>
      <c r="BH228" s="324"/>
      <c r="BI228" s="324"/>
      <c r="BJ228" s="324"/>
      <c r="BK228" s="324"/>
      <c r="BL228" s="324"/>
      <c r="BM228" s="324"/>
      <c r="BN228" s="324"/>
      <c r="BO228" s="324"/>
      <c r="BP228" s="324"/>
      <c r="BQ228" s="324"/>
      <c r="BR228" s="324"/>
      <c r="BS228" s="324"/>
      <c r="BT228" s="324"/>
      <c r="BU228" s="324"/>
      <c r="BV228" s="324"/>
      <c r="BW228" s="324"/>
      <c r="BX228" s="324"/>
    </row>
    <row r="229" spans="1:76" s="240" customFormat="1" ht="1.9" customHeight="1">
      <c r="E229" s="242"/>
      <c r="F229" s="243"/>
      <c r="G229" s="243"/>
      <c r="K229" s="244"/>
      <c r="M229" s="245"/>
      <c r="N229" s="303"/>
      <c r="O229" s="303"/>
      <c r="P229" s="303"/>
      <c r="Q229" s="303"/>
      <c r="R229" s="303"/>
      <c r="S229" s="303"/>
      <c r="T229" s="303"/>
      <c r="U229" s="303"/>
      <c r="V229" s="245"/>
      <c r="W229" s="245"/>
      <c r="X229" s="245"/>
      <c r="Y229" s="245"/>
      <c r="Z229" s="245"/>
      <c r="AA229" s="245"/>
      <c r="AB229" s="245"/>
      <c r="AC229" s="245"/>
      <c r="AD229" s="245"/>
      <c r="AE229" s="245"/>
      <c r="AF229" s="245"/>
      <c r="AG229" s="245"/>
      <c r="AH229" s="246"/>
      <c r="AI229" s="245"/>
      <c r="AJ229" s="324"/>
      <c r="AK229" s="324"/>
      <c r="AL229" s="324"/>
      <c r="AM229" s="324"/>
      <c r="AN229" s="324"/>
      <c r="AO229" s="324"/>
      <c r="AP229" s="324"/>
      <c r="AQ229" s="324"/>
      <c r="AR229" s="324"/>
      <c r="AS229" s="324"/>
      <c r="AT229" s="324"/>
      <c r="AU229" s="324"/>
      <c r="AV229" s="324"/>
      <c r="AW229" s="324"/>
      <c r="AX229" s="324"/>
      <c r="AY229" s="324"/>
      <c r="AZ229" s="324"/>
      <c r="BA229" s="324"/>
      <c r="BB229" s="324"/>
      <c r="BC229" s="324"/>
      <c r="BD229" s="324"/>
      <c r="BE229" s="324"/>
      <c r="BF229" s="324"/>
      <c r="BG229" s="324"/>
      <c r="BH229" s="324"/>
      <c r="BI229" s="324"/>
      <c r="BJ229" s="324"/>
      <c r="BK229" s="324"/>
      <c r="BL229" s="324"/>
      <c r="BM229" s="324"/>
      <c r="BN229" s="324"/>
      <c r="BO229" s="324"/>
      <c r="BP229" s="324"/>
      <c r="BQ229" s="324"/>
      <c r="BR229" s="324"/>
      <c r="BS229" s="324"/>
      <c r="BT229" s="324"/>
      <c r="BU229" s="324"/>
      <c r="BV229" s="324"/>
      <c r="BW229" s="324"/>
      <c r="BX229" s="324"/>
    </row>
    <row r="230" spans="1:76" s="240" customFormat="1">
      <c r="B230" s="328"/>
      <c r="C230" s="328"/>
      <c r="D230" s="480"/>
      <c r="E230" s="480"/>
      <c r="F230" s="480"/>
      <c r="G230" s="480"/>
      <c r="H230" s="480"/>
      <c r="I230" s="480"/>
      <c r="J230" s="480"/>
      <c r="K230" s="480"/>
      <c r="M230" s="245"/>
      <c r="N230" s="303"/>
      <c r="O230" s="303"/>
      <c r="P230" s="303"/>
      <c r="Q230" s="303"/>
      <c r="R230" s="303"/>
      <c r="S230" s="303"/>
      <c r="T230" s="303"/>
      <c r="U230" s="303"/>
      <c r="V230" s="245"/>
      <c r="W230" s="245"/>
      <c r="X230" s="245"/>
      <c r="Y230" s="245"/>
      <c r="Z230" s="245"/>
      <c r="AA230" s="245"/>
      <c r="AB230" s="245"/>
      <c r="AC230" s="245"/>
      <c r="AD230" s="245"/>
      <c r="AE230" s="245"/>
      <c r="AF230" s="245"/>
      <c r="AG230" s="245"/>
      <c r="AH230" s="246"/>
      <c r="AI230" s="245"/>
      <c r="AJ230" s="324"/>
      <c r="AK230" s="324"/>
      <c r="AL230" s="324"/>
      <c r="AM230" s="324"/>
      <c r="AN230" s="324"/>
      <c r="AO230" s="324"/>
      <c r="AP230" s="324"/>
      <c r="AQ230" s="324"/>
      <c r="AR230" s="324"/>
      <c r="AS230" s="324"/>
      <c r="AT230" s="324"/>
      <c r="AU230" s="324"/>
      <c r="AV230" s="324"/>
      <c r="AW230" s="324"/>
      <c r="AX230" s="324"/>
      <c r="AY230" s="324"/>
      <c r="AZ230" s="324"/>
      <c r="BA230" s="324"/>
      <c r="BB230" s="324"/>
      <c r="BC230" s="324"/>
      <c r="BD230" s="324"/>
      <c r="BE230" s="324"/>
      <c r="BF230" s="324"/>
      <c r="BG230" s="324"/>
      <c r="BH230" s="324"/>
      <c r="BI230" s="324"/>
      <c r="BJ230" s="324"/>
      <c r="BK230" s="324"/>
      <c r="BL230" s="324"/>
      <c r="BM230" s="324"/>
      <c r="BN230" s="324"/>
      <c r="BO230" s="324"/>
      <c r="BP230" s="324"/>
      <c r="BQ230" s="324"/>
      <c r="BR230" s="324"/>
      <c r="BS230" s="324"/>
      <c r="BT230" s="324"/>
      <c r="BU230" s="324"/>
      <c r="BV230" s="324"/>
      <c r="BW230" s="324"/>
      <c r="BX230" s="324"/>
    </row>
    <row r="231" spans="1:76" s="240" customFormat="1">
      <c r="B231" s="328"/>
      <c r="C231" s="328"/>
      <c r="D231" s="480"/>
      <c r="E231" s="480"/>
      <c r="F231" s="480"/>
      <c r="G231" s="480"/>
      <c r="H231" s="480"/>
      <c r="I231" s="480"/>
      <c r="J231" s="480"/>
      <c r="K231" s="480"/>
      <c r="M231" s="245"/>
      <c r="N231" s="303"/>
      <c r="O231" s="303"/>
      <c r="P231" s="303"/>
      <c r="Q231" s="303"/>
      <c r="R231" s="303"/>
      <c r="S231" s="303"/>
      <c r="T231" s="303"/>
      <c r="U231" s="303"/>
      <c r="V231" s="245"/>
      <c r="W231" s="245"/>
      <c r="X231" s="245"/>
      <c r="Y231" s="245"/>
      <c r="Z231" s="245"/>
      <c r="AA231" s="245"/>
      <c r="AB231" s="245"/>
      <c r="AC231" s="245"/>
      <c r="AD231" s="245"/>
      <c r="AE231" s="245"/>
      <c r="AF231" s="245"/>
      <c r="AG231" s="245"/>
      <c r="AH231" s="246"/>
      <c r="AI231" s="245"/>
      <c r="AJ231" s="324"/>
      <c r="AK231" s="324"/>
      <c r="AL231" s="324"/>
      <c r="AM231" s="324"/>
      <c r="AN231" s="324"/>
      <c r="AO231" s="324"/>
      <c r="AP231" s="324"/>
      <c r="AQ231" s="324"/>
      <c r="AR231" s="324"/>
      <c r="AS231" s="324"/>
      <c r="AT231" s="324"/>
      <c r="AU231" s="324"/>
      <c r="AV231" s="324"/>
      <c r="AW231" s="324"/>
      <c r="AX231" s="324"/>
      <c r="AY231" s="324"/>
      <c r="AZ231" s="324"/>
      <c r="BA231" s="324"/>
      <c r="BB231" s="324"/>
      <c r="BC231" s="324"/>
      <c r="BD231" s="324"/>
      <c r="BE231" s="324"/>
      <c r="BF231" s="324"/>
      <c r="BG231" s="324"/>
      <c r="BH231" s="324"/>
      <c r="BI231" s="324"/>
      <c r="BJ231" s="324"/>
      <c r="BK231" s="324"/>
      <c r="BL231" s="324"/>
      <c r="BM231" s="324"/>
      <c r="BN231" s="324"/>
      <c r="BO231" s="324"/>
      <c r="BP231" s="324"/>
      <c r="BQ231" s="324"/>
      <c r="BR231" s="324"/>
      <c r="BS231" s="324"/>
      <c r="BT231" s="324"/>
      <c r="BU231" s="324"/>
      <c r="BV231" s="324"/>
      <c r="BW231" s="324"/>
      <c r="BX231" s="324"/>
    </row>
    <row r="232" spans="1:76" s="271" customFormat="1">
      <c r="A232" s="258"/>
      <c r="B232" s="258"/>
      <c r="C232" s="258"/>
      <c r="D232" s="258"/>
      <c r="E232" s="270"/>
      <c r="F232" s="293"/>
      <c r="G232" s="293"/>
      <c r="H232" s="479"/>
      <c r="I232" s="479"/>
      <c r="J232" s="479"/>
      <c r="K232" s="352"/>
      <c r="L232" s="258"/>
      <c r="N232" s="303"/>
      <c r="O232" s="303"/>
      <c r="P232" s="303"/>
      <c r="Q232" s="303"/>
      <c r="R232" s="303"/>
      <c r="S232" s="303"/>
      <c r="T232" s="303"/>
      <c r="U232" s="303"/>
      <c r="AH232" s="307"/>
      <c r="AJ232" s="301"/>
      <c r="AK232" s="301"/>
      <c r="AL232" s="301"/>
      <c r="AM232" s="301"/>
      <c r="AN232" s="301"/>
      <c r="AO232" s="301"/>
      <c r="AP232" s="301"/>
      <c r="AQ232" s="301"/>
      <c r="AR232" s="301"/>
      <c r="AS232" s="301"/>
      <c r="AT232" s="301"/>
      <c r="AU232" s="301"/>
      <c r="AV232" s="301"/>
      <c r="AW232" s="301"/>
      <c r="AX232" s="301"/>
      <c r="AY232" s="301"/>
      <c r="AZ232" s="301"/>
      <c r="BA232" s="301"/>
      <c r="BB232" s="301"/>
      <c r="BC232" s="301"/>
      <c r="BD232" s="301"/>
      <c r="BE232" s="301"/>
      <c r="BF232" s="301"/>
      <c r="BG232" s="301"/>
      <c r="BH232" s="301"/>
      <c r="BI232" s="301"/>
      <c r="BJ232" s="301"/>
      <c r="BK232" s="301"/>
      <c r="BL232" s="301"/>
      <c r="BM232" s="301"/>
      <c r="BN232" s="301"/>
      <c r="BO232" s="301"/>
      <c r="BP232" s="301"/>
      <c r="BQ232" s="301"/>
      <c r="BR232" s="301"/>
      <c r="BS232" s="301"/>
      <c r="BT232" s="301"/>
      <c r="BU232" s="301"/>
      <c r="BV232" s="301"/>
      <c r="BW232" s="301"/>
      <c r="BX232" s="301"/>
    </row>
    <row r="233" spans="1:76" s="271" customFormat="1">
      <c r="A233" s="258"/>
      <c r="B233" s="258"/>
      <c r="C233" s="258"/>
      <c r="D233" s="258"/>
      <c r="E233" s="270"/>
      <c r="F233" s="293"/>
      <c r="G233" s="293"/>
      <c r="H233" s="397"/>
      <c r="I233" s="397"/>
      <c r="J233" s="397"/>
      <c r="K233" s="352"/>
      <c r="L233" s="258"/>
      <c r="N233" s="303"/>
      <c r="O233" s="303"/>
      <c r="P233" s="303"/>
      <c r="Q233" s="303"/>
      <c r="R233" s="303"/>
      <c r="S233" s="303"/>
      <c r="T233" s="303"/>
      <c r="U233" s="303"/>
      <c r="AH233" s="307"/>
      <c r="AJ233" s="301"/>
      <c r="AK233" s="301"/>
      <c r="AL233" s="301"/>
      <c r="AM233" s="301"/>
      <c r="AN233" s="301"/>
      <c r="AO233" s="301"/>
      <c r="AP233" s="301"/>
      <c r="AQ233" s="301"/>
      <c r="AR233" s="301"/>
      <c r="AS233" s="301"/>
      <c r="AT233" s="301"/>
      <c r="AU233" s="301"/>
      <c r="AV233" s="301"/>
      <c r="AW233" s="301"/>
      <c r="AX233" s="301"/>
      <c r="AY233" s="301"/>
      <c r="AZ233" s="301"/>
      <c r="BA233" s="301"/>
      <c r="BB233" s="301"/>
      <c r="BC233" s="301"/>
      <c r="BD233" s="301"/>
      <c r="BE233" s="301"/>
      <c r="BF233" s="301"/>
      <c r="BG233" s="301"/>
      <c r="BH233" s="301"/>
      <c r="BI233" s="301"/>
      <c r="BJ233" s="301"/>
      <c r="BK233" s="301"/>
      <c r="BL233" s="301"/>
      <c r="BM233" s="301"/>
      <c r="BN233" s="301"/>
      <c r="BO233" s="301"/>
      <c r="BP233" s="301"/>
      <c r="BQ233" s="301"/>
      <c r="BR233" s="301"/>
      <c r="BS233" s="301"/>
      <c r="BT233" s="301"/>
      <c r="BU233" s="301"/>
      <c r="BV233" s="301"/>
      <c r="BW233" s="301"/>
      <c r="BX233" s="301"/>
    </row>
    <row r="234" spans="1:76" s="240" customFormat="1">
      <c r="B234" s="328"/>
      <c r="C234" s="328"/>
      <c r="D234" s="480"/>
      <c r="E234" s="480"/>
      <c r="F234" s="480"/>
      <c r="G234" s="480"/>
      <c r="H234" s="480"/>
      <c r="I234" s="480"/>
      <c r="J234" s="480"/>
      <c r="K234" s="480"/>
      <c r="M234" s="245"/>
      <c r="N234" s="303"/>
      <c r="O234" s="303"/>
      <c r="P234" s="303"/>
      <c r="Q234" s="303"/>
      <c r="R234" s="303"/>
      <c r="S234" s="303"/>
      <c r="T234" s="303"/>
      <c r="U234" s="303"/>
      <c r="V234" s="245"/>
      <c r="W234" s="245"/>
      <c r="X234" s="245"/>
      <c r="Y234" s="245"/>
      <c r="Z234" s="245"/>
      <c r="AA234" s="245"/>
      <c r="AB234" s="245"/>
      <c r="AC234" s="245"/>
      <c r="AD234" s="245"/>
      <c r="AE234" s="245"/>
      <c r="AF234" s="245"/>
      <c r="AG234" s="245"/>
      <c r="AH234" s="246"/>
      <c r="AI234" s="245"/>
      <c r="AJ234" s="324"/>
      <c r="AK234" s="324"/>
      <c r="AL234" s="324"/>
      <c r="AM234" s="324"/>
      <c r="AN234" s="324"/>
      <c r="AO234" s="324"/>
      <c r="AP234" s="324"/>
      <c r="AQ234" s="324"/>
      <c r="AR234" s="324"/>
      <c r="AS234" s="324"/>
      <c r="AT234" s="324"/>
      <c r="AU234" s="324"/>
      <c r="AV234" s="324"/>
      <c r="AW234" s="324"/>
      <c r="AX234" s="324"/>
      <c r="AY234" s="324"/>
      <c r="AZ234" s="324"/>
      <c r="BA234" s="324"/>
      <c r="BB234" s="324"/>
      <c r="BC234" s="324"/>
      <c r="BD234" s="324"/>
      <c r="BE234" s="324"/>
      <c r="BF234" s="324"/>
      <c r="BG234" s="324"/>
      <c r="BH234" s="324"/>
      <c r="BI234" s="324"/>
      <c r="BJ234" s="324"/>
      <c r="BK234" s="324"/>
      <c r="BL234" s="324"/>
      <c r="BM234" s="324"/>
      <c r="BN234" s="324"/>
      <c r="BO234" s="324"/>
      <c r="BP234" s="324"/>
      <c r="BQ234" s="324"/>
      <c r="BR234" s="324"/>
      <c r="BS234" s="324"/>
      <c r="BT234" s="324"/>
      <c r="BU234" s="324"/>
      <c r="BV234" s="324"/>
      <c r="BW234" s="324"/>
      <c r="BX234" s="324"/>
    </row>
    <row r="235" spans="1:76" ht="30.65" customHeight="1">
      <c r="B235" s="484"/>
      <c r="C235" s="484"/>
      <c r="D235" s="484"/>
      <c r="E235" s="484"/>
      <c r="F235" s="484"/>
      <c r="G235" s="484"/>
      <c r="H235" s="484"/>
      <c r="I235" s="484"/>
      <c r="J235" s="484"/>
      <c r="K235" s="484"/>
      <c r="N235" s="303"/>
      <c r="O235" s="303"/>
      <c r="P235" s="303"/>
      <c r="Q235" s="303"/>
      <c r="R235" s="303"/>
      <c r="S235" s="303"/>
      <c r="T235" s="303"/>
      <c r="U235" s="303"/>
      <c r="AJ235" s="324"/>
      <c r="AK235" s="324"/>
      <c r="AL235" s="324"/>
      <c r="AM235" s="324"/>
      <c r="AN235" s="324"/>
      <c r="AO235" s="324"/>
      <c r="AP235" s="324"/>
      <c r="AQ235" s="324"/>
      <c r="AR235" s="324"/>
      <c r="AS235" s="324"/>
      <c r="AT235" s="324"/>
      <c r="AU235" s="324"/>
      <c r="AV235" s="324"/>
      <c r="AW235" s="324"/>
      <c r="AX235" s="324"/>
      <c r="AY235" s="324"/>
      <c r="AZ235" s="324"/>
      <c r="BA235" s="324"/>
      <c r="BB235" s="324"/>
      <c r="BC235" s="324"/>
      <c r="BD235" s="324"/>
      <c r="BE235" s="324"/>
      <c r="BF235" s="324"/>
      <c r="BG235" s="324"/>
      <c r="BH235" s="324"/>
      <c r="BI235" s="324"/>
      <c r="BJ235" s="324"/>
      <c r="BK235" s="324"/>
      <c r="BL235" s="324"/>
      <c r="BM235" s="324"/>
      <c r="BN235" s="324"/>
      <c r="BO235" s="324"/>
      <c r="BP235" s="324"/>
      <c r="BQ235" s="324"/>
      <c r="BR235" s="324"/>
      <c r="BS235" s="324"/>
      <c r="BT235" s="324"/>
      <c r="BU235" s="324"/>
      <c r="BV235" s="324"/>
      <c r="BW235" s="324"/>
      <c r="BX235" s="324"/>
    </row>
    <row r="236" spans="1:76" s="240" customFormat="1" ht="1.9" customHeight="1">
      <c r="E236" s="242"/>
      <c r="F236" s="243"/>
      <c r="G236" s="243"/>
      <c r="K236" s="244"/>
      <c r="M236" s="245"/>
      <c r="N236" s="303"/>
      <c r="O236" s="303"/>
      <c r="P236" s="303"/>
      <c r="Q236" s="303"/>
      <c r="R236" s="303"/>
      <c r="S236" s="303"/>
      <c r="T236" s="303"/>
      <c r="U236" s="303"/>
      <c r="V236" s="245"/>
      <c r="W236" s="245"/>
      <c r="X236" s="245"/>
      <c r="Y236" s="245"/>
      <c r="Z236" s="245"/>
      <c r="AA236" s="245"/>
      <c r="AB236" s="245"/>
      <c r="AC236" s="245"/>
      <c r="AD236" s="245"/>
      <c r="AE236" s="245"/>
      <c r="AF236" s="245"/>
      <c r="AG236" s="245"/>
      <c r="AH236" s="246"/>
      <c r="AI236" s="245"/>
      <c r="AJ236" s="324"/>
      <c r="AK236" s="324"/>
      <c r="AL236" s="324"/>
      <c r="AM236" s="324"/>
      <c r="AN236" s="324"/>
      <c r="AO236" s="324"/>
      <c r="AP236" s="324"/>
      <c r="AQ236" s="324"/>
      <c r="AR236" s="324"/>
      <c r="AS236" s="324"/>
      <c r="AT236" s="324"/>
      <c r="AU236" s="324"/>
      <c r="AV236" s="324"/>
      <c r="AW236" s="324"/>
      <c r="AX236" s="324"/>
      <c r="AY236" s="324"/>
      <c r="AZ236" s="324"/>
      <c r="BA236" s="324"/>
      <c r="BB236" s="324"/>
      <c r="BC236" s="324"/>
      <c r="BD236" s="324"/>
      <c r="BE236" s="324"/>
      <c r="BF236" s="324"/>
      <c r="BG236" s="324"/>
      <c r="BH236" s="324"/>
      <c r="BI236" s="324"/>
      <c r="BJ236" s="324"/>
      <c r="BK236" s="324"/>
      <c r="BL236" s="324"/>
      <c r="BM236" s="324"/>
      <c r="BN236" s="324"/>
      <c r="BO236" s="324"/>
      <c r="BP236" s="324"/>
      <c r="BQ236" s="324"/>
      <c r="BR236" s="324"/>
      <c r="BS236" s="324"/>
      <c r="BT236" s="324"/>
      <c r="BU236" s="324"/>
      <c r="BV236" s="324"/>
      <c r="BW236" s="324"/>
      <c r="BX236" s="324"/>
    </row>
    <row r="237" spans="1:76" s="240" customFormat="1" ht="1.9" customHeight="1">
      <c r="E237" s="242"/>
      <c r="F237" s="243"/>
      <c r="G237" s="243"/>
      <c r="K237" s="244"/>
      <c r="M237" s="245"/>
      <c r="N237" s="303"/>
      <c r="O237" s="303"/>
      <c r="P237" s="303"/>
      <c r="Q237" s="303"/>
      <c r="R237" s="303"/>
      <c r="S237" s="303"/>
      <c r="T237" s="303"/>
      <c r="U237" s="303"/>
      <c r="V237" s="245"/>
      <c r="W237" s="245"/>
      <c r="X237" s="245"/>
      <c r="Y237" s="245"/>
      <c r="Z237" s="245"/>
      <c r="AA237" s="245"/>
      <c r="AB237" s="245"/>
      <c r="AC237" s="245"/>
      <c r="AD237" s="245"/>
      <c r="AE237" s="245"/>
      <c r="AF237" s="245"/>
      <c r="AG237" s="245"/>
      <c r="AH237" s="246"/>
      <c r="AI237" s="245"/>
      <c r="AJ237" s="324"/>
      <c r="AK237" s="324"/>
      <c r="AL237" s="324"/>
      <c r="AM237" s="324"/>
      <c r="AN237" s="324"/>
      <c r="AO237" s="324"/>
      <c r="AP237" s="324"/>
      <c r="AQ237" s="324"/>
      <c r="AR237" s="324"/>
      <c r="AS237" s="324"/>
      <c r="AT237" s="324"/>
      <c r="AU237" s="324"/>
      <c r="AV237" s="324"/>
      <c r="AW237" s="324"/>
      <c r="AX237" s="324"/>
      <c r="AY237" s="324"/>
      <c r="AZ237" s="324"/>
      <c r="BA237" s="324"/>
      <c r="BB237" s="324"/>
      <c r="BC237" s="324"/>
      <c r="BD237" s="324"/>
      <c r="BE237" s="324"/>
      <c r="BF237" s="324"/>
      <c r="BG237" s="324"/>
      <c r="BH237" s="324"/>
      <c r="BI237" s="324"/>
      <c r="BJ237" s="324"/>
      <c r="BK237" s="324"/>
      <c r="BL237" s="324"/>
      <c r="BM237" s="324"/>
      <c r="BN237" s="324"/>
      <c r="BO237" s="324"/>
      <c r="BP237" s="324"/>
      <c r="BQ237" s="324"/>
      <c r="BR237" s="324"/>
      <c r="BS237" s="324"/>
      <c r="BT237" s="324"/>
      <c r="BU237" s="324"/>
      <c r="BV237" s="324"/>
      <c r="BW237" s="324"/>
      <c r="BX237" s="324"/>
    </row>
    <row r="238" spans="1:76" s="240" customFormat="1" ht="1.9" customHeight="1">
      <c r="E238" s="242"/>
      <c r="F238" s="243"/>
      <c r="G238" s="243"/>
      <c r="K238" s="244"/>
      <c r="M238" s="245"/>
      <c r="N238" s="303"/>
      <c r="O238" s="303"/>
      <c r="P238" s="303"/>
      <c r="Q238" s="303"/>
      <c r="R238" s="303"/>
      <c r="S238" s="303"/>
      <c r="T238" s="303"/>
      <c r="U238" s="303"/>
      <c r="V238" s="245"/>
      <c r="W238" s="245"/>
      <c r="X238" s="245"/>
      <c r="Y238" s="245"/>
      <c r="Z238" s="245"/>
      <c r="AA238" s="245"/>
      <c r="AB238" s="245"/>
      <c r="AC238" s="245"/>
      <c r="AD238" s="245"/>
      <c r="AE238" s="245"/>
      <c r="AF238" s="245"/>
      <c r="AG238" s="245"/>
      <c r="AH238" s="246"/>
      <c r="AI238" s="245"/>
      <c r="AJ238" s="324"/>
      <c r="AK238" s="324"/>
      <c r="AL238" s="324"/>
      <c r="AM238" s="324"/>
      <c r="AN238" s="324"/>
      <c r="AO238" s="324"/>
      <c r="AP238" s="324"/>
      <c r="AQ238" s="324"/>
      <c r="AR238" s="324"/>
      <c r="AS238" s="324"/>
      <c r="AT238" s="324"/>
      <c r="AU238" s="324"/>
      <c r="AV238" s="324"/>
      <c r="AW238" s="324"/>
      <c r="AX238" s="324"/>
      <c r="AY238" s="324"/>
      <c r="AZ238" s="324"/>
      <c r="BA238" s="324"/>
      <c r="BB238" s="324"/>
      <c r="BC238" s="324"/>
      <c r="BD238" s="324"/>
      <c r="BE238" s="324"/>
      <c r="BF238" s="324"/>
      <c r="BG238" s="324"/>
      <c r="BH238" s="324"/>
      <c r="BI238" s="324"/>
      <c r="BJ238" s="324"/>
      <c r="BK238" s="324"/>
      <c r="BL238" s="324"/>
      <c r="BM238" s="324"/>
      <c r="BN238" s="324"/>
      <c r="BO238" s="324"/>
      <c r="BP238" s="324"/>
      <c r="BQ238" s="324"/>
      <c r="BR238" s="324"/>
      <c r="BS238" s="324"/>
      <c r="BT238" s="324"/>
      <c r="BU238" s="324"/>
      <c r="BV238" s="324"/>
      <c r="BW238" s="324"/>
      <c r="BX238" s="324"/>
    </row>
    <row r="239" spans="1:76" s="240" customFormat="1" ht="1.9" customHeight="1">
      <c r="E239" s="242"/>
      <c r="F239" s="243"/>
      <c r="G239" s="243"/>
      <c r="K239" s="244"/>
      <c r="M239" s="245"/>
      <c r="N239" s="303"/>
      <c r="O239" s="303"/>
      <c r="P239" s="303"/>
      <c r="Q239" s="303"/>
      <c r="R239" s="303"/>
      <c r="S239" s="303"/>
      <c r="T239" s="303"/>
      <c r="U239" s="303"/>
      <c r="V239" s="245"/>
      <c r="W239" s="245"/>
      <c r="X239" s="245"/>
      <c r="Y239" s="245"/>
      <c r="Z239" s="245"/>
      <c r="AA239" s="245"/>
      <c r="AB239" s="245"/>
      <c r="AC239" s="245"/>
      <c r="AD239" s="245"/>
      <c r="AE239" s="245"/>
      <c r="AF239" s="245"/>
      <c r="AG239" s="245"/>
      <c r="AH239" s="246"/>
      <c r="AI239" s="245"/>
      <c r="AJ239" s="324"/>
      <c r="AK239" s="324"/>
      <c r="AL239" s="324"/>
      <c r="AM239" s="324"/>
      <c r="AN239" s="324"/>
      <c r="AO239" s="324"/>
      <c r="AP239" s="324"/>
      <c r="AQ239" s="324"/>
      <c r="AR239" s="324"/>
      <c r="AS239" s="324"/>
      <c r="AT239" s="324"/>
      <c r="AU239" s="324"/>
      <c r="AV239" s="324"/>
      <c r="AW239" s="324"/>
      <c r="AX239" s="324"/>
      <c r="AY239" s="324"/>
      <c r="AZ239" s="324"/>
      <c r="BA239" s="324"/>
      <c r="BB239" s="324"/>
      <c r="BC239" s="324"/>
      <c r="BD239" s="324"/>
      <c r="BE239" s="324"/>
      <c r="BF239" s="324"/>
      <c r="BG239" s="324"/>
      <c r="BH239" s="324"/>
      <c r="BI239" s="324"/>
      <c r="BJ239" s="324"/>
      <c r="BK239" s="324"/>
      <c r="BL239" s="324"/>
      <c r="BM239" s="324"/>
      <c r="BN239" s="324"/>
      <c r="BO239" s="324"/>
      <c r="BP239" s="324"/>
      <c r="BQ239" s="324"/>
      <c r="BR239" s="324"/>
      <c r="BS239" s="324"/>
      <c r="BT239" s="324"/>
      <c r="BU239" s="324"/>
      <c r="BV239" s="324"/>
      <c r="BW239" s="324"/>
      <c r="BX239" s="324"/>
    </row>
    <row r="240" spans="1:76">
      <c r="B240" s="240"/>
      <c r="C240" s="240"/>
      <c r="D240" s="240"/>
      <c r="E240" s="242"/>
      <c r="F240" s="243"/>
      <c r="G240" s="243"/>
      <c r="H240" s="240"/>
      <c r="I240" s="240"/>
      <c r="J240" s="240"/>
      <c r="K240" s="244"/>
      <c r="M240" s="324"/>
      <c r="N240" s="361"/>
      <c r="O240" s="361"/>
      <c r="P240" s="361"/>
      <c r="Q240" s="361"/>
      <c r="R240" s="361"/>
      <c r="S240" s="361"/>
      <c r="T240" s="361"/>
      <c r="U240" s="361"/>
      <c r="V240" s="324"/>
    </row>
    <row r="241" spans="1:22">
      <c r="B241" s="328"/>
      <c r="C241" s="328"/>
      <c r="D241" s="480"/>
      <c r="E241" s="480"/>
      <c r="F241" s="480"/>
      <c r="G241" s="480"/>
      <c r="H241" s="480"/>
      <c r="I241" s="480"/>
      <c r="J241" s="480"/>
      <c r="K241" s="480"/>
      <c r="M241" s="324"/>
      <c r="N241" s="361"/>
      <c r="O241" s="361"/>
      <c r="P241" s="361"/>
      <c r="Q241" s="361"/>
      <c r="R241" s="361"/>
      <c r="S241" s="361"/>
      <c r="T241" s="361"/>
      <c r="U241" s="361"/>
      <c r="V241" s="324"/>
    </row>
    <row r="242" spans="1:22">
      <c r="B242" s="328"/>
      <c r="C242" s="328"/>
      <c r="D242" s="480"/>
      <c r="E242" s="480"/>
      <c r="F242" s="480"/>
      <c r="G242" s="480"/>
      <c r="H242" s="480"/>
      <c r="I242" s="480"/>
      <c r="J242" s="480"/>
      <c r="K242" s="480"/>
      <c r="M242" s="324"/>
      <c r="N242" s="361"/>
      <c r="O242" s="361"/>
      <c r="P242" s="361"/>
      <c r="Q242" s="361"/>
      <c r="R242" s="361"/>
      <c r="S242" s="361"/>
      <c r="T242" s="361"/>
      <c r="U242" s="361"/>
      <c r="V242" s="324"/>
    </row>
    <row r="243" spans="1:22">
      <c r="A243" s="258"/>
      <c r="B243" s="258"/>
      <c r="C243" s="258"/>
      <c r="D243" s="258"/>
      <c r="E243" s="270"/>
      <c r="F243" s="293"/>
      <c r="G243" s="293"/>
      <c r="H243" s="479"/>
      <c r="I243" s="479"/>
      <c r="J243" s="479"/>
      <c r="K243" s="352"/>
      <c r="L243" s="258"/>
      <c r="M243" s="324"/>
      <c r="N243" s="361"/>
      <c r="O243" s="361"/>
      <c r="P243" s="361"/>
      <c r="Q243" s="361"/>
      <c r="R243" s="361"/>
      <c r="S243" s="361"/>
      <c r="T243" s="361"/>
      <c r="U243" s="361"/>
      <c r="V243" s="324"/>
    </row>
    <row r="244" spans="1:22">
      <c r="B244" s="328"/>
      <c r="C244" s="328"/>
      <c r="D244" s="480"/>
      <c r="E244" s="480"/>
      <c r="F244" s="480"/>
      <c r="G244" s="480"/>
      <c r="H244" s="480"/>
      <c r="I244" s="480"/>
      <c r="J244" s="480"/>
      <c r="K244" s="480"/>
      <c r="M244" s="324"/>
      <c r="N244" s="361"/>
      <c r="O244" s="361"/>
      <c r="P244" s="361"/>
      <c r="Q244" s="361"/>
      <c r="R244" s="361"/>
      <c r="S244" s="361"/>
      <c r="T244" s="361"/>
      <c r="U244" s="361"/>
      <c r="V244" s="324"/>
    </row>
    <row r="245" spans="1:22">
      <c r="B245" s="328"/>
      <c r="C245" s="328"/>
      <c r="D245" s="480"/>
      <c r="E245" s="480"/>
      <c r="F245" s="480"/>
      <c r="G245" s="480"/>
      <c r="H245" s="480"/>
      <c r="I245" s="480"/>
      <c r="J245" s="480"/>
      <c r="K245" s="480"/>
      <c r="M245" s="324"/>
      <c r="N245" s="361"/>
      <c r="O245" s="361"/>
      <c r="P245" s="361"/>
      <c r="Q245" s="361"/>
      <c r="R245" s="361"/>
      <c r="S245" s="361"/>
      <c r="T245" s="361"/>
      <c r="U245" s="361"/>
      <c r="V245" s="324"/>
    </row>
    <row r="246" spans="1:22">
      <c r="A246" s="258"/>
      <c r="B246" s="258"/>
      <c r="C246" s="258"/>
      <c r="D246" s="258"/>
      <c r="E246" s="270"/>
      <c r="F246" s="293"/>
      <c r="G246" s="293"/>
      <c r="H246" s="479"/>
      <c r="I246" s="479"/>
      <c r="J246" s="479"/>
      <c r="K246" s="352"/>
      <c r="L246" s="258"/>
      <c r="M246" s="324"/>
      <c r="N246" s="361"/>
      <c r="O246" s="361"/>
      <c r="P246" s="361"/>
      <c r="Q246" s="361"/>
      <c r="R246" s="361"/>
      <c r="S246" s="361"/>
      <c r="T246" s="361"/>
      <c r="U246" s="361"/>
      <c r="V246" s="324"/>
    </row>
    <row r="247" spans="1:22">
      <c r="B247" s="328"/>
      <c r="C247" s="328"/>
      <c r="D247" s="480"/>
      <c r="E247" s="480"/>
      <c r="F247" s="480"/>
      <c r="G247" s="480"/>
      <c r="H247" s="480"/>
      <c r="I247" s="480"/>
      <c r="J247" s="480"/>
      <c r="K247" s="480"/>
      <c r="M247" s="324"/>
      <c r="N247" s="361"/>
      <c r="O247" s="361"/>
      <c r="P247" s="361"/>
      <c r="Q247" s="361"/>
      <c r="R247" s="361"/>
      <c r="S247" s="361"/>
      <c r="T247" s="361"/>
      <c r="U247" s="361"/>
      <c r="V247" s="324"/>
    </row>
    <row r="248" spans="1:22">
      <c r="B248" s="328"/>
      <c r="C248" s="328"/>
      <c r="D248" s="480"/>
      <c r="E248" s="480"/>
      <c r="F248" s="480"/>
      <c r="G248" s="480"/>
      <c r="H248" s="480"/>
      <c r="I248" s="480"/>
      <c r="J248" s="480"/>
      <c r="K248" s="480"/>
      <c r="M248" s="324"/>
      <c r="N248" s="361"/>
      <c r="O248" s="361"/>
      <c r="P248" s="361"/>
      <c r="Q248" s="361"/>
      <c r="R248" s="361"/>
      <c r="S248" s="361"/>
      <c r="T248" s="361"/>
      <c r="U248" s="361"/>
      <c r="V248" s="324"/>
    </row>
    <row r="249" spans="1:22">
      <c r="A249" s="258"/>
      <c r="B249" s="258"/>
      <c r="C249" s="258"/>
      <c r="D249" s="258"/>
      <c r="E249" s="270"/>
      <c r="F249" s="293"/>
      <c r="G249" s="293"/>
      <c r="H249" s="479"/>
      <c r="I249" s="479"/>
      <c r="J249" s="479"/>
      <c r="K249" s="352"/>
      <c r="L249" s="258"/>
      <c r="M249" s="324"/>
      <c r="N249" s="361"/>
      <c r="O249" s="361"/>
      <c r="P249" s="361"/>
      <c r="Q249" s="361"/>
      <c r="R249" s="361"/>
      <c r="S249" s="361"/>
      <c r="T249" s="361"/>
      <c r="U249" s="361"/>
      <c r="V249" s="324"/>
    </row>
    <row r="250" spans="1:22">
      <c r="B250" s="240"/>
      <c r="C250" s="240"/>
      <c r="D250" s="240"/>
      <c r="E250" s="242"/>
      <c r="F250" s="243"/>
      <c r="G250" s="243"/>
      <c r="H250" s="240"/>
      <c r="I250" s="240"/>
      <c r="J250" s="240"/>
      <c r="K250" s="244"/>
      <c r="M250" s="324"/>
      <c r="N250" s="361"/>
      <c r="O250" s="361"/>
      <c r="P250" s="361"/>
      <c r="Q250" s="361"/>
      <c r="R250" s="361"/>
      <c r="S250" s="361"/>
      <c r="T250" s="361"/>
      <c r="U250" s="361"/>
      <c r="V250" s="324"/>
    </row>
    <row r="251" spans="1:22">
      <c r="B251" s="240"/>
      <c r="C251" s="240"/>
      <c r="D251" s="240"/>
      <c r="E251" s="242"/>
      <c r="F251" s="243"/>
      <c r="G251" s="243"/>
      <c r="H251" s="240"/>
      <c r="I251" s="240"/>
      <c r="J251" s="240"/>
      <c r="K251" s="244"/>
      <c r="M251" s="324"/>
      <c r="N251" s="361"/>
      <c r="O251" s="361"/>
      <c r="P251" s="361"/>
      <c r="Q251" s="361"/>
      <c r="R251" s="361"/>
      <c r="S251" s="361"/>
      <c r="T251" s="361"/>
      <c r="U251" s="361"/>
      <c r="V251" s="324"/>
    </row>
    <row r="252" spans="1:22">
      <c r="B252" s="240"/>
      <c r="C252" s="240"/>
      <c r="D252" s="240"/>
      <c r="E252" s="242"/>
      <c r="F252" s="243"/>
      <c r="G252" s="243"/>
      <c r="H252" s="240"/>
      <c r="I252" s="240"/>
      <c r="J252" s="240"/>
      <c r="K252" s="244"/>
      <c r="M252" s="324"/>
      <c r="N252" s="361"/>
      <c r="O252" s="361"/>
      <c r="P252" s="361"/>
      <c r="Q252" s="361"/>
      <c r="R252" s="361"/>
      <c r="S252" s="361"/>
      <c r="T252" s="361"/>
      <c r="U252" s="361"/>
      <c r="V252" s="324"/>
    </row>
    <row r="253" spans="1:22">
      <c r="B253" s="240"/>
      <c r="C253" s="240"/>
      <c r="D253" s="240"/>
      <c r="E253" s="242"/>
      <c r="F253" s="243"/>
      <c r="G253" s="243"/>
      <c r="H253" s="240"/>
      <c r="I253" s="240"/>
      <c r="J253" s="240"/>
      <c r="K253" s="244"/>
      <c r="M253" s="324"/>
      <c r="N253" s="361"/>
      <c r="O253" s="361"/>
      <c r="P253" s="361"/>
      <c r="Q253" s="361"/>
      <c r="R253" s="361"/>
      <c r="S253" s="361"/>
      <c r="T253" s="361"/>
      <c r="U253" s="361"/>
      <c r="V253" s="324"/>
    </row>
    <row r="254" spans="1:22">
      <c r="B254" s="328"/>
      <c r="C254" s="328"/>
      <c r="D254" s="480"/>
      <c r="E254" s="480"/>
      <c r="F254" s="480"/>
      <c r="G254" s="480"/>
      <c r="H254" s="480"/>
      <c r="I254" s="480"/>
      <c r="J254" s="480"/>
      <c r="K254" s="480"/>
      <c r="M254" s="324"/>
      <c r="N254" s="361"/>
      <c r="O254" s="361"/>
      <c r="P254" s="361"/>
      <c r="Q254" s="361"/>
      <c r="R254" s="361"/>
      <c r="S254" s="361"/>
      <c r="T254" s="361"/>
      <c r="U254" s="361"/>
      <c r="V254" s="324"/>
    </row>
    <row r="255" spans="1:22">
      <c r="B255" s="328"/>
      <c r="C255" s="328"/>
      <c r="D255" s="480"/>
      <c r="E255" s="480"/>
      <c r="F255" s="480"/>
      <c r="G255" s="480"/>
      <c r="H255" s="480"/>
      <c r="I255" s="480"/>
      <c r="J255" s="480"/>
      <c r="K255" s="480"/>
      <c r="M255" s="324"/>
      <c r="N255" s="361"/>
      <c r="O255" s="361"/>
      <c r="P255" s="361"/>
      <c r="Q255" s="361"/>
      <c r="R255" s="361"/>
      <c r="S255" s="361"/>
      <c r="T255" s="361"/>
      <c r="U255" s="361"/>
      <c r="V255" s="324"/>
    </row>
    <row r="256" spans="1:22" ht="5.25" customHeight="1">
      <c r="B256" s="240"/>
      <c r="C256" s="240"/>
      <c r="D256" s="240"/>
      <c r="E256" s="242"/>
      <c r="F256" s="243"/>
      <c r="G256" s="243"/>
      <c r="H256" s="240"/>
      <c r="I256" s="240"/>
      <c r="J256" s="240"/>
      <c r="K256" s="244"/>
      <c r="M256" s="324"/>
      <c r="N256" s="361"/>
      <c r="O256" s="361"/>
      <c r="P256" s="361"/>
      <c r="Q256" s="361"/>
      <c r="R256" s="361"/>
      <c r="S256" s="361"/>
      <c r="T256" s="361"/>
      <c r="U256" s="361"/>
      <c r="V256" s="324"/>
    </row>
    <row r="257" spans="1:76" s="240" customFormat="1" ht="3.65" customHeight="1">
      <c r="B257" s="355"/>
      <c r="C257" s="355"/>
      <c r="D257" s="355"/>
      <c r="E257" s="356"/>
      <c r="F257" s="357"/>
      <c r="G257" s="357"/>
      <c r="H257" s="355"/>
      <c r="I257" s="355"/>
      <c r="J257" s="355"/>
      <c r="K257" s="358"/>
      <c r="M257" s="324"/>
      <c r="N257" s="361"/>
      <c r="O257" s="361"/>
      <c r="P257" s="361"/>
      <c r="Q257" s="361"/>
      <c r="R257" s="361"/>
      <c r="S257" s="361"/>
      <c r="T257" s="361"/>
      <c r="U257" s="361"/>
      <c r="V257" s="324"/>
      <c r="W257" s="245"/>
      <c r="X257" s="245"/>
      <c r="Y257" s="245"/>
      <c r="Z257" s="245"/>
      <c r="AA257" s="245"/>
      <c r="AB257" s="245"/>
      <c r="AC257" s="245"/>
      <c r="AD257" s="245"/>
      <c r="AE257" s="245"/>
      <c r="AF257" s="245"/>
      <c r="AG257" s="245"/>
      <c r="AH257" s="246"/>
      <c r="AI257" s="245"/>
      <c r="AJ257" s="324"/>
      <c r="AK257" s="324"/>
      <c r="AL257" s="324"/>
      <c r="AM257" s="324"/>
      <c r="AN257" s="324"/>
      <c r="AO257" s="324"/>
      <c r="AP257" s="324"/>
      <c r="AQ257" s="324"/>
      <c r="AR257" s="324"/>
      <c r="AS257" s="324"/>
      <c r="AT257" s="324"/>
      <c r="AU257" s="324"/>
      <c r="AV257" s="324"/>
      <c r="AW257" s="324"/>
      <c r="AX257" s="324"/>
      <c r="AY257" s="324"/>
      <c r="AZ257" s="324"/>
      <c r="BA257" s="324"/>
      <c r="BB257" s="324"/>
      <c r="BC257" s="324"/>
      <c r="BD257" s="324"/>
      <c r="BE257" s="324"/>
      <c r="BF257" s="324"/>
      <c r="BG257" s="324"/>
      <c r="BH257" s="324"/>
      <c r="BI257" s="324"/>
      <c r="BJ257" s="324"/>
      <c r="BK257" s="324"/>
      <c r="BL257" s="324"/>
      <c r="BM257" s="324"/>
      <c r="BN257" s="324"/>
      <c r="BO257" s="324"/>
      <c r="BP257" s="324"/>
      <c r="BQ257" s="324"/>
      <c r="BR257" s="324"/>
      <c r="BS257" s="324"/>
      <c r="BT257" s="324"/>
      <c r="BU257" s="324"/>
      <c r="BV257" s="324"/>
      <c r="BW257" s="324"/>
      <c r="BX257" s="324"/>
    </row>
    <row r="258" spans="1:76" ht="3" customHeight="1">
      <c r="B258" s="240"/>
      <c r="C258" s="240"/>
      <c r="D258" s="240"/>
      <c r="E258" s="242"/>
      <c r="F258" s="243"/>
      <c r="G258" s="243"/>
      <c r="H258" s="240"/>
      <c r="I258" s="240"/>
      <c r="J258" s="240"/>
      <c r="K258" s="244"/>
      <c r="M258" s="324"/>
      <c r="N258" s="361"/>
      <c r="O258" s="361"/>
      <c r="P258" s="361"/>
      <c r="Q258" s="361"/>
      <c r="R258" s="361"/>
      <c r="S258" s="361"/>
      <c r="T258" s="361"/>
      <c r="U258" s="361"/>
      <c r="V258" s="324"/>
    </row>
    <row r="259" spans="1:76" ht="14.5" customHeight="1">
      <c r="B259" s="484" t="s">
        <v>307</v>
      </c>
      <c r="C259" s="484"/>
      <c r="D259" s="484"/>
      <c r="E259" s="484"/>
      <c r="F259" s="484"/>
      <c r="G259" s="484"/>
      <c r="H259" s="484"/>
      <c r="I259" s="484"/>
      <c r="J259" s="484"/>
      <c r="K259" s="484"/>
      <c r="M259" s="324"/>
      <c r="N259" s="361"/>
      <c r="O259" s="361"/>
      <c r="P259" s="361"/>
      <c r="Q259" s="361"/>
      <c r="R259" s="361"/>
      <c r="S259" s="361"/>
      <c r="T259" s="361"/>
      <c r="U259" s="361"/>
      <c r="V259" s="324"/>
    </row>
    <row r="260" spans="1:76">
      <c r="B260" s="484"/>
      <c r="C260" s="484"/>
      <c r="D260" s="484"/>
      <c r="E260" s="484"/>
      <c r="F260" s="484"/>
      <c r="G260" s="484"/>
      <c r="H260" s="484"/>
      <c r="I260" s="484"/>
      <c r="J260" s="484"/>
      <c r="K260" s="484"/>
      <c r="M260" s="324"/>
      <c r="N260" s="361"/>
      <c r="O260" s="361"/>
      <c r="P260" s="361"/>
      <c r="Q260" s="361"/>
      <c r="R260" s="361"/>
      <c r="S260" s="361"/>
      <c r="T260" s="361"/>
      <c r="U260" s="361"/>
      <c r="V260" s="324"/>
    </row>
    <row r="261" spans="1:76" ht="14.5" customHeight="1">
      <c r="B261" s="484"/>
      <c r="C261" s="484"/>
      <c r="D261" s="484"/>
      <c r="E261" s="484"/>
      <c r="F261" s="484"/>
      <c r="G261" s="484"/>
      <c r="H261" s="484"/>
      <c r="I261" s="484"/>
      <c r="J261" s="484"/>
      <c r="K261" s="484"/>
      <c r="M261" s="324"/>
      <c r="N261" s="361"/>
      <c r="O261" s="361"/>
      <c r="P261" s="361"/>
      <c r="Q261" s="361"/>
      <c r="R261" s="361"/>
      <c r="S261" s="361"/>
      <c r="T261" s="361"/>
      <c r="U261" s="361"/>
      <c r="V261" s="324"/>
    </row>
    <row r="262" spans="1:76">
      <c r="B262" s="484"/>
      <c r="C262" s="484"/>
      <c r="D262" s="484"/>
      <c r="E262" s="484"/>
      <c r="F262" s="484"/>
      <c r="G262" s="484"/>
      <c r="H262" s="484"/>
      <c r="I262" s="484"/>
      <c r="J262" s="484"/>
      <c r="K262" s="484"/>
      <c r="M262" s="324"/>
      <c r="N262" s="361"/>
      <c r="O262" s="361"/>
      <c r="P262" s="361"/>
      <c r="Q262" s="361"/>
      <c r="R262" s="361"/>
      <c r="S262" s="361"/>
      <c r="T262" s="361"/>
      <c r="U262" s="361"/>
      <c r="V262" s="324"/>
    </row>
    <row r="263" spans="1:76">
      <c r="A263" s="245"/>
      <c r="B263" s="245"/>
      <c r="C263" s="245"/>
      <c r="D263" s="245"/>
      <c r="E263" s="246"/>
      <c r="F263" s="359"/>
      <c r="G263" s="359"/>
      <c r="H263" s="245"/>
      <c r="I263" s="245"/>
      <c r="J263" s="245"/>
      <c r="K263" s="360"/>
      <c r="L263" s="245"/>
      <c r="M263" s="324"/>
      <c r="N263" s="361"/>
      <c r="O263" s="361"/>
      <c r="P263" s="361"/>
      <c r="Q263" s="361"/>
      <c r="R263" s="361"/>
      <c r="S263" s="361"/>
      <c r="T263" s="361"/>
      <c r="U263" s="361"/>
      <c r="V263" s="324"/>
    </row>
    <row r="264" spans="1:76">
      <c r="A264" s="245"/>
      <c r="B264" s="245"/>
      <c r="C264" s="245"/>
      <c r="D264" s="245"/>
      <c r="E264" s="246"/>
      <c r="F264" s="359"/>
      <c r="G264" s="359"/>
      <c r="H264" s="245"/>
      <c r="I264" s="245"/>
      <c r="J264" s="245"/>
      <c r="K264" s="360"/>
      <c r="L264" s="245"/>
      <c r="M264" s="324"/>
      <c r="N264" s="361"/>
      <c r="O264" s="361"/>
      <c r="P264" s="361"/>
      <c r="Q264" s="361"/>
      <c r="R264" s="361"/>
      <c r="S264" s="361"/>
      <c r="T264" s="361"/>
      <c r="U264" s="361"/>
      <c r="V264" s="324"/>
    </row>
    <row r="265" spans="1:76">
      <c r="A265" s="245"/>
      <c r="B265" s="245"/>
      <c r="C265" s="245"/>
      <c r="D265" s="245"/>
      <c r="E265" s="246"/>
      <c r="F265" s="359"/>
      <c r="G265" s="359"/>
      <c r="H265" s="245"/>
      <c r="I265" s="245"/>
      <c r="J265" s="245"/>
      <c r="K265" s="360"/>
      <c r="L265" s="245"/>
      <c r="M265" s="324"/>
      <c r="N265" s="361"/>
      <c r="O265" s="361"/>
      <c r="P265" s="361"/>
      <c r="Q265" s="361"/>
      <c r="R265" s="361"/>
      <c r="S265" s="361"/>
      <c r="T265" s="361"/>
      <c r="U265" s="361"/>
      <c r="V265" s="324"/>
    </row>
    <row r="266" spans="1:76">
      <c r="A266" s="245"/>
      <c r="B266" s="245"/>
      <c r="C266" s="245"/>
      <c r="D266" s="245"/>
      <c r="E266" s="246"/>
      <c r="F266" s="359"/>
      <c r="G266" s="359"/>
      <c r="H266" s="245"/>
      <c r="I266" s="245"/>
      <c r="J266" s="245"/>
      <c r="K266" s="360"/>
      <c r="L266" s="245"/>
      <c r="M266" s="324"/>
      <c r="N266" s="361"/>
      <c r="O266" s="361"/>
      <c r="P266" s="361"/>
      <c r="Q266" s="361"/>
      <c r="R266" s="361"/>
      <c r="S266" s="361"/>
      <c r="T266" s="361"/>
      <c r="U266" s="361"/>
      <c r="V266" s="324"/>
    </row>
    <row r="267" spans="1:76">
      <c r="A267" s="245"/>
      <c r="B267" s="245"/>
      <c r="C267" s="245"/>
      <c r="D267" s="245"/>
      <c r="E267" s="246"/>
      <c r="F267" s="359"/>
      <c r="G267" s="359"/>
      <c r="H267" s="245"/>
      <c r="I267" s="245"/>
      <c r="J267" s="245"/>
      <c r="K267" s="360"/>
      <c r="L267" s="245"/>
      <c r="M267" s="324"/>
      <c r="N267" s="361"/>
      <c r="O267" s="361"/>
      <c r="P267" s="361"/>
      <c r="Q267" s="361"/>
      <c r="R267" s="361"/>
      <c r="S267" s="361"/>
      <c r="T267" s="361"/>
      <c r="U267" s="361"/>
      <c r="V267" s="324"/>
    </row>
    <row r="268" spans="1:76">
      <c r="A268" s="245"/>
      <c r="B268" s="245"/>
      <c r="C268" s="245"/>
      <c r="D268" s="245"/>
      <c r="E268" s="246"/>
      <c r="F268" s="359"/>
      <c r="G268" s="359"/>
      <c r="H268" s="245"/>
      <c r="I268" s="245"/>
      <c r="J268" s="245"/>
      <c r="K268" s="360"/>
      <c r="L268" s="245"/>
      <c r="M268" s="324"/>
      <c r="N268" s="361"/>
      <c r="O268" s="361"/>
      <c r="P268" s="361"/>
      <c r="Q268" s="361"/>
      <c r="R268" s="361"/>
      <c r="S268" s="361"/>
      <c r="T268" s="361"/>
      <c r="U268" s="361"/>
      <c r="V268" s="324"/>
    </row>
    <row r="269" spans="1:76">
      <c r="A269" s="245"/>
      <c r="B269" s="245"/>
      <c r="C269" s="245"/>
      <c r="D269" s="245"/>
      <c r="E269" s="246"/>
      <c r="F269" s="359"/>
      <c r="G269" s="359"/>
      <c r="H269" s="245"/>
      <c r="I269" s="245"/>
      <c r="J269" s="245"/>
      <c r="K269" s="360"/>
      <c r="L269" s="245"/>
      <c r="M269" s="324"/>
      <c r="N269" s="361"/>
      <c r="O269" s="361"/>
      <c r="P269" s="361"/>
      <c r="Q269" s="361"/>
      <c r="R269" s="361"/>
      <c r="S269" s="361"/>
      <c r="T269" s="361"/>
      <c r="U269" s="361"/>
      <c r="V269" s="324"/>
    </row>
    <row r="270" spans="1:76">
      <c r="A270" s="245"/>
      <c r="B270" s="245"/>
      <c r="C270" s="245"/>
      <c r="D270" s="245"/>
      <c r="E270" s="246"/>
      <c r="F270" s="359"/>
      <c r="G270" s="359"/>
      <c r="H270" s="245"/>
      <c r="I270" s="245"/>
      <c r="J270" s="245"/>
      <c r="K270" s="360"/>
      <c r="L270" s="245"/>
      <c r="M270" s="324"/>
      <c r="N270" s="361"/>
      <c r="O270" s="361"/>
      <c r="P270" s="361"/>
      <c r="Q270" s="361"/>
      <c r="R270" s="361"/>
      <c r="S270" s="361"/>
      <c r="T270" s="361"/>
      <c r="U270" s="361"/>
      <c r="V270" s="324"/>
    </row>
    <row r="271" spans="1:76">
      <c r="A271" s="245"/>
      <c r="B271" s="245"/>
      <c r="C271" s="245"/>
      <c r="D271" s="245"/>
      <c r="E271" s="246"/>
      <c r="F271" s="359"/>
      <c r="G271" s="359"/>
      <c r="H271" s="245"/>
      <c r="I271" s="245"/>
      <c r="J271" s="245"/>
      <c r="K271" s="360"/>
      <c r="L271" s="245"/>
      <c r="M271" s="324"/>
      <c r="N271" s="361"/>
      <c r="O271" s="361"/>
      <c r="P271" s="361"/>
      <c r="Q271" s="361"/>
      <c r="R271" s="361"/>
      <c r="S271" s="361"/>
      <c r="T271" s="361"/>
      <c r="U271" s="361"/>
      <c r="V271" s="324"/>
    </row>
    <row r="272" spans="1:76">
      <c r="A272" s="245"/>
      <c r="B272" s="245"/>
      <c r="C272" s="245"/>
      <c r="D272" s="245"/>
      <c r="E272" s="246"/>
      <c r="F272" s="359"/>
      <c r="G272" s="359"/>
      <c r="H272" s="245"/>
      <c r="I272" s="245"/>
      <c r="J272" s="245"/>
      <c r="K272" s="360"/>
      <c r="L272" s="245"/>
      <c r="M272" s="324"/>
      <c r="N272" s="361"/>
      <c r="O272" s="361"/>
      <c r="P272" s="361"/>
      <c r="Q272" s="361"/>
      <c r="R272" s="361"/>
      <c r="S272" s="361"/>
      <c r="T272" s="361"/>
      <c r="U272" s="361"/>
      <c r="V272" s="324"/>
    </row>
    <row r="273" spans="1:22">
      <c r="A273" s="245"/>
      <c r="B273" s="245"/>
      <c r="C273" s="245"/>
      <c r="D273" s="245"/>
      <c r="E273" s="246"/>
      <c r="F273" s="359"/>
      <c r="G273" s="359"/>
      <c r="H273" s="245"/>
      <c r="I273" s="245"/>
      <c r="J273" s="245"/>
      <c r="K273" s="360"/>
      <c r="L273" s="245"/>
      <c r="M273" s="324"/>
      <c r="N273" s="361"/>
      <c r="O273" s="361"/>
      <c r="P273" s="361"/>
      <c r="Q273" s="361"/>
      <c r="R273" s="361"/>
      <c r="S273" s="361"/>
      <c r="T273" s="361"/>
      <c r="U273" s="361"/>
      <c r="V273" s="324"/>
    </row>
    <row r="274" spans="1:22">
      <c r="A274" s="245"/>
      <c r="B274" s="245"/>
      <c r="C274" s="245"/>
      <c r="D274" s="245"/>
      <c r="E274" s="246"/>
      <c r="F274" s="359"/>
      <c r="G274" s="359"/>
      <c r="H274" s="245"/>
      <c r="I274" s="245"/>
      <c r="J274" s="245"/>
      <c r="K274" s="360"/>
      <c r="L274" s="245"/>
      <c r="M274" s="324"/>
      <c r="N274" s="361"/>
      <c r="O274" s="361"/>
      <c r="P274" s="361"/>
      <c r="Q274" s="361"/>
      <c r="R274" s="361"/>
      <c r="S274" s="361"/>
      <c r="T274" s="361"/>
      <c r="U274" s="361"/>
      <c r="V274" s="324"/>
    </row>
    <row r="275" spans="1:22">
      <c r="A275" s="245"/>
      <c r="B275" s="245"/>
      <c r="C275" s="245"/>
      <c r="D275" s="245"/>
      <c r="E275" s="246"/>
      <c r="F275" s="359"/>
      <c r="G275" s="359"/>
      <c r="H275" s="245"/>
      <c r="I275" s="245"/>
      <c r="J275" s="245"/>
      <c r="K275" s="360"/>
      <c r="L275" s="245"/>
      <c r="M275" s="324"/>
      <c r="N275" s="361"/>
      <c r="O275" s="361"/>
      <c r="P275" s="361"/>
      <c r="Q275" s="361"/>
      <c r="R275" s="361"/>
      <c r="S275" s="361"/>
      <c r="T275" s="361"/>
      <c r="U275" s="361"/>
      <c r="V275" s="324"/>
    </row>
    <row r="276" spans="1:22">
      <c r="A276" s="245"/>
      <c r="B276" s="245"/>
      <c r="C276" s="245"/>
      <c r="D276" s="245"/>
      <c r="E276" s="246"/>
      <c r="F276" s="359"/>
      <c r="G276" s="359"/>
      <c r="H276" s="245"/>
      <c r="I276" s="245"/>
      <c r="J276" s="245"/>
      <c r="K276" s="360"/>
      <c r="L276" s="245"/>
      <c r="M276" s="324"/>
      <c r="N276" s="361"/>
      <c r="O276" s="361"/>
      <c r="P276" s="361"/>
      <c r="Q276" s="361"/>
      <c r="R276" s="361"/>
      <c r="S276" s="361"/>
      <c r="T276" s="361"/>
      <c r="U276" s="361"/>
      <c r="V276" s="324"/>
    </row>
    <row r="277" spans="1:22">
      <c r="A277" s="245"/>
      <c r="B277" s="245"/>
      <c r="C277" s="245"/>
      <c r="D277" s="245"/>
      <c r="E277" s="246"/>
      <c r="F277" s="359"/>
      <c r="G277" s="359"/>
      <c r="H277" s="245"/>
      <c r="I277" s="245"/>
      <c r="J277" s="245"/>
      <c r="K277" s="360"/>
      <c r="L277" s="245"/>
      <c r="M277" s="324"/>
      <c r="N277" s="361"/>
      <c r="O277" s="361"/>
      <c r="P277" s="361"/>
      <c r="Q277" s="361"/>
      <c r="R277" s="361"/>
      <c r="S277" s="361"/>
      <c r="T277" s="361"/>
      <c r="U277" s="361"/>
      <c r="V277" s="324"/>
    </row>
    <row r="278" spans="1:22">
      <c r="A278" s="245"/>
      <c r="B278" s="245"/>
      <c r="C278" s="245"/>
      <c r="D278" s="245"/>
      <c r="E278" s="246"/>
      <c r="F278" s="359"/>
      <c r="G278" s="359"/>
      <c r="H278" s="245"/>
      <c r="I278" s="245"/>
      <c r="J278" s="245"/>
      <c r="K278" s="360"/>
      <c r="L278" s="245"/>
      <c r="M278" s="324"/>
      <c r="N278" s="361"/>
      <c r="O278" s="361"/>
      <c r="P278" s="361"/>
      <c r="Q278" s="361"/>
      <c r="R278" s="361"/>
      <c r="S278" s="361"/>
      <c r="T278" s="361"/>
      <c r="U278" s="361"/>
      <c r="V278" s="324"/>
    </row>
    <row r="279" spans="1:22">
      <c r="A279" s="245"/>
      <c r="B279" s="245"/>
      <c r="C279" s="245"/>
      <c r="D279" s="245"/>
      <c r="E279" s="246"/>
      <c r="F279" s="359"/>
      <c r="G279" s="359"/>
      <c r="H279" s="245"/>
      <c r="I279" s="245"/>
      <c r="J279" s="245"/>
      <c r="K279" s="360"/>
      <c r="L279" s="245"/>
      <c r="M279" s="324"/>
      <c r="N279" s="361"/>
      <c r="O279" s="361"/>
      <c r="P279" s="361"/>
      <c r="Q279" s="361"/>
      <c r="R279" s="361"/>
      <c r="S279" s="361"/>
      <c r="T279" s="361"/>
      <c r="U279" s="361"/>
      <c r="V279" s="324"/>
    </row>
    <row r="280" spans="1:22">
      <c r="A280" s="245"/>
      <c r="B280" s="245"/>
      <c r="C280" s="245"/>
      <c r="D280" s="245"/>
      <c r="E280" s="246"/>
      <c r="F280" s="359"/>
      <c r="G280" s="359"/>
      <c r="H280" s="245"/>
      <c r="I280" s="245"/>
      <c r="J280" s="245"/>
      <c r="K280" s="360"/>
      <c r="L280" s="245"/>
      <c r="M280" s="324"/>
      <c r="N280" s="361"/>
      <c r="O280" s="361"/>
      <c r="P280" s="361"/>
      <c r="Q280" s="361"/>
      <c r="R280" s="361"/>
      <c r="S280" s="361"/>
      <c r="T280" s="361"/>
      <c r="U280" s="361"/>
      <c r="V280" s="324"/>
    </row>
    <row r="281" spans="1:22">
      <c r="A281" s="245"/>
      <c r="B281" s="245"/>
      <c r="C281" s="245"/>
      <c r="D281" s="245"/>
      <c r="E281" s="246"/>
      <c r="F281" s="359"/>
      <c r="G281" s="359"/>
      <c r="H281" s="245"/>
      <c r="I281" s="245"/>
      <c r="J281" s="245"/>
      <c r="K281" s="360"/>
      <c r="L281" s="245"/>
      <c r="M281" s="324"/>
      <c r="N281" s="361"/>
      <c r="O281" s="361"/>
      <c r="P281" s="361"/>
      <c r="Q281" s="361"/>
      <c r="R281" s="361"/>
      <c r="S281" s="361"/>
      <c r="T281" s="361"/>
      <c r="U281" s="361"/>
      <c r="V281" s="324"/>
    </row>
    <row r="282" spans="1:22">
      <c r="A282" s="245"/>
      <c r="B282" s="245"/>
      <c r="C282" s="245"/>
      <c r="D282" s="245"/>
      <c r="E282" s="246"/>
      <c r="F282" s="359"/>
      <c r="G282" s="359"/>
      <c r="H282" s="245"/>
      <c r="I282" s="245"/>
      <c r="J282" s="245"/>
      <c r="K282" s="360"/>
      <c r="L282" s="245"/>
      <c r="M282" s="324"/>
      <c r="N282" s="361"/>
      <c r="O282" s="361"/>
      <c r="P282" s="361"/>
      <c r="Q282" s="361"/>
      <c r="R282" s="361"/>
      <c r="S282" s="361"/>
      <c r="T282" s="361"/>
      <c r="U282" s="361"/>
      <c r="V282" s="324"/>
    </row>
    <row r="283" spans="1:22">
      <c r="A283" s="245"/>
      <c r="B283" s="245"/>
      <c r="C283" s="245"/>
      <c r="D283" s="245"/>
      <c r="E283" s="246"/>
      <c r="F283" s="359"/>
      <c r="G283" s="359"/>
      <c r="H283" s="245"/>
      <c r="I283" s="245"/>
      <c r="J283" s="245"/>
      <c r="K283" s="360"/>
      <c r="L283" s="245"/>
      <c r="M283" s="324"/>
      <c r="N283" s="361"/>
      <c r="O283" s="361"/>
      <c r="P283" s="361"/>
      <c r="Q283" s="361"/>
      <c r="R283" s="361"/>
      <c r="S283" s="361"/>
      <c r="T283" s="361"/>
      <c r="U283" s="361"/>
      <c r="V283" s="324"/>
    </row>
    <row r="284" spans="1:22">
      <c r="A284" s="245"/>
      <c r="B284" s="245"/>
      <c r="C284" s="245"/>
      <c r="D284" s="245"/>
      <c r="E284" s="246"/>
      <c r="F284" s="359"/>
      <c r="G284" s="359"/>
      <c r="H284" s="245"/>
      <c r="I284" s="245"/>
      <c r="J284" s="245"/>
      <c r="K284" s="360"/>
      <c r="L284" s="245"/>
      <c r="M284" s="324"/>
      <c r="N284" s="361"/>
      <c r="O284" s="361"/>
      <c r="P284" s="361"/>
      <c r="Q284" s="361"/>
      <c r="R284" s="361"/>
      <c r="S284" s="361"/>
      <c r="T284" s="361"/>
      <c r="U284" s="361"/>
      <c r="V284" s="324"/>
    </row>
    <row r="285" spans="1:22">
      <c r="A285" s="245"/>
      <c r="B285" s="245"/>
      <c r="C285" s="245"/>
      <c r="D285" s="245"/>
      <c r="E285" s="246"/>
      <c r="F285" s="359"/>
      <c r="G285" s="359"/>
      <c r="H285" s="245"/>
      <c r="I285" s="245"/>
      <c r="J285" s="245"/>
      <c r="K285" s="360"/>
      <c r="L285" s="245"/>
      <c r="M285" s="324"/>
      <c r="N285" s="361"/>
      <c r="O285" s="361"/>
      <c r="P285" s="361"/>
      <c r="Q285" s="361"/>
      <c r="R285" s="361"/>
      <c r="S285" s="361"/>
      <c r="T285" s="361"/>
      <c r="U285" s="361"/>
      <c r="V285" s="324"/>
    </row>
    <row r="286" spans="1:22">
      <c r="A286" s="245"/>
      <c r="B286" s="245"/>
      <c r="C286" s="245"/>
      <c r="D286" s="245"/>
      <c r="E286" s="246"/>
      <c r="F286" s="359"/>
      <c r="G286" s="359"/>
      <c r="H286" s="245"/>
      <c r="I286" s="245"/>
      <c r="J286" s="245"/>
      <c r="K286" s="360"/>
      <c r="L286" s="245"/>
      <c r="M286" s="324"/>
      <c r="N286" s="361"/>
      <c r="O286" s="361"/>
      <c r="P286" s="361"/>
      <c r="Q286" s="361"/>
      <c r="R286" s="361"/>
      <c r="S286" s="361"/>
      <c r="T286" s="361"/>
      <c r="U286" s="361"/>
      <c r="V286" s="324"/>
    </row>
    <row r="287" spans="1:22">
      <c r="A287" s="245"/>
      <c r="B287" s="245"/>
      <c r="C287" s="245"/>
      <c r="D287" s="245"/>
      <c r="E287" s="246"/>
      <c r="F287" s="359"/>
      <c r="G287" s="359"/>
      <c r="H287" s="245"/>
      <c r="I287" s="245"/>
      <c r="J287" s="245"/>
      <c r="K287" s="360"/>
      <c r="L287" s="245"/>
      <c r="M287" s="324"/>
      <c r="N287" s="361"/>
      <c r="O287" s="361"/>
      <c r="P287" s="361"/>
      <c r="Q287" s="361"/>
      <c r="R287" s="361"/>
      <c r="S287" s="361"/>
      <c r="T287" s="361"/>
      <c r="U287" s="361"/>
      <c r="V287" s="324"/>
    </row>
    <row r="288" spans="1:22">
      <c r="A288" s="245"/>
      <c r="B288" s="245"/>
      <c r="C288" s="245"/>
      <c r="D288" s="245"/>
      <c r="E288" s="246"/>
      <c r="F288" s="359"/>
      <c r="G288" s="359"/>
      <c r="H288" s="245"/>
      <c r="I288" s="245"/>
      <c r="J288" s="245"/>
      <c r="K288" s="360"/>
      <c r="L288" s="245"/>
      <c r="M288" s="324"/>
      <c r="N288" s="361"/>
      <c r="O288" s="361"/>
      <c r="P288" s="361"/>
      <c r="Q288" s="361"/>
      <c r="R288" s="361"/>
      <c r="S288" s="361"/>
      <c r="T288" s="361"/>
      <c r="U288" s="361"/>
      <c r="V288" s="324"/>
    </row>
    <row r="289" spans="1:22">
      <c r="A289" s="245"/>
      <c r="B289" s="245"/>
      <c r="C289" s="245"/>
      <c r="D289" s="245"/>
      <c r="E289" s="246"/>
      <c r="F289" s="359"/>
      <c r="G289" s="359"/>
      <c r="H289" s="245"/>
      <c r="I289" s="245"/>
      <c r="J289" s="245"/>
      <c r="K289" s="360"/>
      <c r="L289" s="245"/>
      <c r="M289" s="324"/>
      <c r="N289" s="361"/>
      <c r="O289" s="361"/>
      <c r="P289" s="361"/>
      <c r="Q289" s="361"/>
      <c r="R289" s="361"/>
      <c r="S289" s="361"/>
      <c r="T289" s="361"/>
      <c r="U289" s="361"/>
      <c r="V289" s="324"/>
    </row>
    <row r="290" spans="1:22">
      <c r="A290" s="245"/>
      <c r="B290" s="245"/>
      <c r="C290" s="245"/>
      <c r="D290" s="245"/>
      <c r="E290" s="246"/>
      <c r="F290" s="359"/>
      <c r="G290" s="359"/>
      <c r="H290" s="245"/>
      <c r="I290" s="245"/>
      <c r="J290" s="245"/>
      <c r="K290" s="360"/>
      <c r="L290" s="245"/>
      <c r="M290" s="324"/>
      <c r="N290" s="361"/>
      <c r="O290" s="361"/>
      <c r="P290" s="361"/>
      <c r="Q290" s="361"/>
      <c r="R290" s="361"/>
      <c r="S290" s="361"/>
      <c r="T290" s="361"/>
      <c r="U290" s="361"/>
      <c r="V290" s="324"/>
    </row>
    <row r="291" spans="1:22">
      <c r="A291" s="245"/>
      <c r="B291" s="245"/>
      <c r="C291" s="245"/>
      <c r="D291" s="245"/>
      <c r="E291" s="246"/>
      <c r="F291" s="359"/>
      <c r="G291" s="359"/>
      <c r="H291" s="245"/>
      <c r="I291" s="245"/>
      <c r="J291" s="245"/>
      <c r="K291" s="360"/>
      <c r="L291" s="245"/>
      <c r="M291" s="324"/>
      <c r="N291" s="361"/>
      <c r="O291" s="361"/>
      <c r="P291" s="361"/>
      <c r="Q291" s="361"/>
      <c r="R291" s="361"/>
      <c r="S291" s="361"/>
      <c r="T291" s="361"/>
      <c r="U291" s="361"/>
      <c r="V291" s="324"/>
    </row>
    <row r="292" spans="1:22">
      <c r="A292" s="245"/>
      <c r="B292" s="245"/>
      <c r="C292" s="245"/>
      <c r="D292" s="245"/>
      <c r="E292" s="246"/>
      <c r="F292" s="359"/>
      <c r="G292" s="359"/>
      <c r="H292" s="245"/>
      <c r="I292" s="245"/>
      <c r="J292" s="245"/>
      <c r="K292" s="360"/>
      <c r="L292" s="245"/>
      <c r="M292" s="324"/>
      <c r="N292" s="361"/>
      <c r="O292" s="361"/>
      <c r="P292" s="361"/>
      <c r="Q292" s="361"/>
      <c r="R292" s="361"/>
      <c r="S292" s="361"/>
      <c r="T292" s="361"/>
      <c r="U292" s="361"/>
      <c r="V292" s="324"/>
    </row>
    <row r="293" spans="1:22">
      <c r="A293" s="245"/>
      <c r="B293" s="245"/>
      <c r="C293" s="245"/>
      <c r="D293" s="245"/>
      <c r="E293" s="246"/>
      <c r="F293" s="359"/>
      <c r="G293" s="359"/>
      <c r="H293" s="245"/>
      <c r="I293" s="245"/>
      <c r="J293" s="245"/>
      <c r="K293" s="360"/>
      <c r="L293" s="245"/>
      <c r="M293" s="324"/>
      <c r="N293" s="361"/>
      <c r="O293" s="361"/>
      <c r="P293" s="361"/>
      <c r="Q293" s="361"/>
      <c r="R293" s="361"/>
      <c r="S293" s="361"/>
      <c r="T293" s="361"/>
      <c r="U293" s="361"/>
      <c r="V293" s="324"/>
    </row>
    <row r="294" spans="1:22">
      <c r="A294" s="245"/>
      <c r="B294" s="245"/>
      <c r="C294" s="245"/>
      <c r="D294" s="245"/>
      <c r="E294" s="246"/>
      <c r="F294" s="359"/>
      <c r="G294" s="359"/>
      <c r="H294" s="245"/>
      <c r="I294" s="245"/>
      <c r="J294" s="245"/>
      <c r="K294" s="360"/>
      <c r="L294" s="245"/>
      <c r="M294" s="324"/>
      <c r="N294" s="361"/>
      <c r="O294" s="361"/>
      <c r="P294" s="361"/>
      <c r="Q294" s="361"/>
      <c r="R294" s="361"/>
      <c r="S294" s="361"/>
      <c r="T294" s="361"/>
      <c r="U294" s="361"/>
      <c r="V294" s="324"/>
    </row>
    <row r="295" spans="1:22">
      <c r="A295" s="245"/>
      <c r="B295" s="245"/>
      <c r="C295" s="245"/>
      <c r="D295" s="245"/>
      <c r="E295" s="246"/>
      <c r="F295" s="359"/>
      <c r="G295" s="359"/>
      <c r="H295" s="245"/>
      <c r="I295" s="245"/>
      <c r="J295" s="245"/>
      <c r="K295" s="360"/>
      <c r="L295" s="245"/>
      <c r="M295" s="324"/>
      <c r="N295" s="361"/>
      <c r="O295" s="361"/>
      <c r="P295" s="361"/>
      <c r="Q295" s="361"/>
      <c r="R295" s="361"/>
      <c r="S295" s="361"/>
      <c r="T295" s="361"/>
      <c r="U295" s="361"/>
      <c r="V295" s="324"/>
    </row>
    <row r="296" spans="1:22">
      <c r="A296" s="245"/>
      <c r="B296" s="245"/>
      <c r="C296" s="245"/>
      <c r="D296" s="245"/>
      <c r="E296" s="246"/>
      <c r="F296" s="359"/>
      <c r="G296" s="359"/>
      <c r="H296" s="245"/>
      <c r="I296" s="245"/>
      <c r="J296" s="245"/>
      <c r="K296" s="360"/>
      <c r="L296" s="245"/>
      <c r="M296" s="324"/>
      <c r="N296" s="361"/>
      <c r="O296" s="361"/>
      <c r="P296" s="361"/>
      <c r="Q296" s="361"/>
      <c r="R296" s="361"/>
      <c r="S296" s="361"/>
      <c r="T296" s="361"/>
      <c r="U296" s="361"/>
      <c r="V296" s="324"/>
    </row>
    <row r="297" spans="1:22">
      <c r="A297" s="245"/>
      <c r="B297" s="245"/>
      <c r="C297" s="245"/>
      <c r="D297" s="245"/>
      <c r="E297" s="246"/>
      <c r="F297" s="359"/>
      <c r="G297" s="359"/>
      <c r="H297" s="245"/>
      <c r="I297" s="245"/>
      <c r="J297" s="245"/>
      <c r="K297" s="360"/>
      <c r="L297" s="245"/>
      <c r="M297" s="324"/>
      <c r="N297" s="361"/>
      <c r="O297" s="361"/>
      <c r="P297" s="361"/>
      <c r="Q297" s="361"/>
      <c r="R297" s="361"/>
      <c r="S297" s="361"/>
      <c r="T297" s="361"/>
      <c r="U297" s="361"/>
      <c r="V297" s="324"/>
    </row>
    <row r="298" spans="1:22">
      <c r="A298" s="245"/>
      <c r="B298" s="245"/>
      <c r="C298" s="245"/>
      <c r="D298" s="245"/>
      <c r="E298" s="246"/>
      <c r="F298" s="359"/>
      <c r="G298" s="359"/>
      <c r="H298" s="245"/>
      <c r="I298" s="245"/>
      <c r="J298" s="245"/>
      <c r="K298" s="360"/>
      <c r="L298" s="245"/>
      <c r="M298" s="324"/>
      <c r="N298" s="361"/>
      <c r="O298" s="361"/>
      <c r="P298" s="361"/>
      <c r="Q298" s="361"/>
      <c r="R298" s="361"/>
      <c r="S298" s="361"/>
      <c r="T298" s="361"/>
      <c r="U298" s="361"/>
      <c r="V298" s="324"/>
    </row>
    <row r="299" spans="1:22">
      <c r="A299" s="245"/>
      <c r="B299" s="245"/>
      <c r="C299" s="245"/>
      <c r="D299" s="245"/>
      <c r="E299" s="246"/>
      <c r="F299" s="359"/>
      <c r="G299" s="359"/>
      <c r="H299" s="245"/>
      <c r="I299" s="245"/>
      <c r="J299" s="245"/>
      <c r="K299" s="360"/>
      <c r="L299" s="245"/>
      <c r="M299" s="324"/>
      <c r="N299" s="361"/>
      <c r="O299" s="361"/>
      <c r="P299" s="361"/>
      <c r="Q299" s="361"/>
      <c r="R299" s="361"/>
      <c r="S299" s="361"/>
      <c r="T299" s="361"/>
      <c r="U299" s="361"/>
      <c r="V299" s="324"/>
    </row>
    <row r="300" spans="1:22">
      <c r="A300" s="245"/>
      <c r="B300" s="245"/>
      <c r="C300" s="245"/>
      <c r="D300" s="245"/>
      <c r="E300" s="246"/>
      <c r="F300" s="359"/>
      <c r="G300" s="359"/>
      <c r="H300" s="245"/>
      <c r="I300" s="245"/>
      <c r="J300" s="245"/>
      <c r="K300" s="360"/>
      <c r="L300" s="245"/>
      <c r="M300" s="324"/>
      <c r="N300" s="361"/>
      <c r="O300" s="361"/>
      <c r="P300" s="361"/>
      <c r="Q300" s="361"/>
      <c r="R300" s="361"/>
      <c r="S300" s="361"/>
      <c r="T300" s="361"/>
      <c r="U300" s="361"/>
      <c r="V300" s="324"/>
    </row>
    <row r="301" spans="1:22">
      <c r="A301" s="245"/>
      <c r="B301" s="245"/>
      <c r="C301" s="245"/>
      <c r="D301" s="245"/>
      <c r="E301" s="246"/>
      <c r="F301" s="359"/>
      <c r="G301" s="359"/>
      <c r="H301" s="245"/>
      <c r="I301" s="245"/>
      <c r="J301" s="245"/>
      <c r="K301" s="360"/>
      <c r="L301" s="245"/>
      <c r="M301" s="324"/>
      <c r="N301" s="361"/>
      <c r="O301" s="361"/>
      <c r="P301" s="361"/>
      <c r="Q301" s="361"/>
      <c r="R301" s="361"/>
      <c r="S301" s="361"/>
      <c r="T301" s="361"/>
      <c r="U301" s="361"/>
      <c r="V301" s="324"/>
    </row>
    <row r="302" spans="1:22">
      <c r="A302" s="245"/>
      <c r="B302" s="245"/>
      <c r="C302" s="245"/>
      <c r="D302" s="245"/>
      <c r="E302" s="246"/>
      <c r="F302" s="359"/>
      <c r="G302" s="359"/>
      <c r="H302" s="245"/>
      <c r="I302" s="245"/>
      <c r="J302" s="245"/>
      <c r="K302" s="360"/>
      <c r="L302" s="245"/>
      <c r="M302" s="324"/>
      <c r="N302" s="361"/>
      <c r="O302" s="361"/>
      <c r="P302" s="361"/>
      <c r="Q302" s="361"/>
      <c r="R302" s="361"/>
      <c r="S302" s="361"/>
      <c r="T302" s="361"/>
      <c r="U302" s="361"/>
      <c r="V302" s="324"/>
    </row>
    <row r="303" spans="1:22">
      <c r="A303" s="245"/>
      <c r="B303" s="245"/>
      <c r="C303" s="245"/>
      <c r="D303" s="245"/>
      <c r="E303" s="246"/>
      <c r="F303" s="359"/>
      <c r="G303" s="359"/>
      <c r="H303" s="245"/>
      <c r="I303" s="245"/>
      <c r="J303" s="245"/>
      <c r="K303" s="360"/>
      <c r="L303" s="245"/>
      <c r="M303" s="324"/>
      <c r="N303" s="361"/>
      <c r="O303" s="361"/>
      <c r="P303" s="361"/>
      <c r="Q303" s="361"/>
      <c r="R303" s="361"/>
      <c r="S303" s="361"/>
      <c r="T303" s="361"/>
      <c r="U303" s="361"/>
      <c r="V303" s="324"/>
    </row>
    <row r="304" spans="1:22">
      <c r="A304" s="245"/>
      <c r="B304" s="245"/>
      <c r="C304" s="245"/>
      <c r="D304" s="245"/>
      <c r="E304" s="246"/>
      <c r="F304" s="359"/>
      <c r="G304" s="359"/>
      <c r="H304" s="245"/>
      <c r="I304" s="245"/>
      <c r="J304" s="245"/>
      <c r="K304" s="360"/>
      <c r="L304" s="245"/>
      <c r="M304" s="324"/>
      <c r="N304" s="361"/>
      <c r="O304" s="361"/>
      <c r="P304" s="361"/>
      <c r="Q304" s="361"/>
      <c r="R304" s="361"/>
      <c r="S304" s="361"/>
      <c r="T304" s="361"/>
      <c r="U304" s="361"/>
      <c r="V304" s="324"/>
    </row>
    <row r="305" spans="1:22">
      <c r="A305" s="245"/>
      <c r="B305" s="245"/>
      <c r="C305" s="245"/>
      <c r="D305" s="245"/>
      <c r="E305" s="246"/>
      <c r="F305" s="359"/>
      <c r="G305" s="359"/>
      <c r="H305" s="245"/>
      <c r="I305" s="245"/>
      <c r="J305" s="245"/>
      <c r="K305" s="360"/>
      <c r="L305" s="245"/>
      <c r="M305" s="324"/>
      <c r="N305" s="361"/>
      <c r="O305" s="361"/>
      <c r="P305" s="361"/>
      <c r="Q305" s="361"/>
      <c r="R305" s="361"/>
      <c r="S305" s="361"/>
      <c r="T305" s="361"/>
      <c r="U305" s="361"/>
      <c r="V305" s="324"/>
    </row>
    <row r="306" spans="1:22">
      <c r="A306" s="245"/>
      <c r="B306" s="245"/>
      <c r="C306" s="245"/>
      <c r="D306" s="245"/>
      <c r="E306" s="246"/>
      <c r="F306" s="359"/>
      <c r="G306" s="359"/>
      <c r="H306" s="245"/>
      <c r="I306" s="245"/>
      <c r="J306" s="245"/>
      <c r="K306" s="360"/>
      <c r="L306" s="245"/>
      <c r="M306" s="324"/>
      <c r="N306" s="361"/>
      <c r="O306" s="361"/>
      <c r="P306" s="361"/>
      <c r="Q306" s="361"/>
      <c r="R306" s="361"/>
      <c r="S306" s="361"/>
      <c r="T306" s="361"/>
      <c r="U306" s="361"/>
      <c r="V306" s="324"/>
    </row>
    <row r="307" spans="1:22">
      <c r="A307" s="245"/>
      <c r="B307" s="245"/>
      <c r="C307" s="245"/>
      <c r="D307" s="245"/>
      <c r="E307" s="246"/>
      <c r="F307" s="359"/>
      <c r="G307" s="359"/>
      <c r="H307" s="245"/>
      <c r="I307" s="245"/>
      <c r="J307" s="245"/>
      <c r="K307" s="360"/>
      <c r="L307" s="245"/>
      <c r="M307" s="324"/>
      <c r="N307" s="361"/>
      <c r="O307" s="361"/>
      <c r="P307" s="361"/>
      <c r="Q307" s="361"/>
      <c r="R307" s="361"/>
      <c r="S307" s="361"/>
      <c r="T307" s="361"/>
      <c r="U307" s="361"/>
      <c r="V307" s="324"/>
    </row>
    <row r="308" spans="1:22">
      <c r="A308" s="245"/>
      <c r="B308" s="245"/>
      <c r="C308" s="245"/>
      <c r="D308" s="245"/>
      <c r="E308" s="246"/>
      <c r="F308" s="359"/>
      <c r="G308" s="359"/>
      <c r="H308" s="245"/>
      <c r="I308" s="245"/>
      <c r="J308" s="245"/>
      <c r="K308" s="360"/>
      <c r="L308" s="245"/>
      <c r="M308" s="324"/>
      <c r="N308" s="361"/>
      <c r="O308" s="361"/>
      <c r="P308" s="361"/>
      <c r="Q308" s="361"/>
      <c r="R308" s="361"/>
      <c r="S308" s="361"/>
      <c r="T308" s="361"/>
      <c r="U308" s="361"/>
      <c r="V308" s="324"/>
    </row>
    <row r="309" spans="1:22">
      <c r="A309" s="245"/>
      <c r="B309" s="245"/>
      <c r="C309" s="245"/>
      <c r="D309" s="245"/>
      <c r="E309" s="246"/>
      <c r="F309" s="359"/>
      <c r="G309" s="359"/>
      <c r="H309" s="245"/>
      <c r="I309" s="245"/>
      <c r="J309" s="245"/>
      <c r="K309" s="360"/>
      <c r="L309" s="245"/>
      <c r="M309" s="324"/>
      <c r="N309" s="361"/>
      <c r="O309" s="361"/>
      <c r="P309" s="361"/>
      <c r="Q309" s="361"/>
      <c r="R309" s="361"/>
      <c r="S309" s="361"/>
      <c r="T309" s="361"/>
      <c r="U309" s="361"/>
      <c r="V309" s="324"/>
    </row>
    <row r="310" spans="1:22">
      <c r="A310" s="245"/>
      <c r="B310" s="245"/>
      <c r="C310" s="245"/>
      <c r="D310" s="245"/>
      <c r="E310" s="246"/>
      <c r="F310" s="359"/>
      <c r="G310" s="359"/>
      <c r="H310" s="245"/>
      <c r="I310" s="245"/>
      <c r="J310" s="245"/>
      <c r="K310" s="360"/>
      <c r="L310" s="245"/>
      <c r="M310" s="324"/>
      <c r="N310" s="361"/>
      <c r="O310" s="361"/>
      <c r="P310" s="361"/>
      <c r="Q310" s="361"/>
      <c r="R310" s="361"/>
      <c r="S310" s="361"/>
      <c r="T310" s="361"/>
      <c r="U310" s="361"/>
      <c r="V310" s="324"/>
    </row>
    <row r="311" spans="1:22">
      <c r="A311" s="245"/>
      <c r="B311" s="245"/>
      <c r="C311" s="245"/>
      <c r="D311" s="245"/>
      <c r="E311" s="246"/>
      <c r="F311" s="359"/>
      <c r="G311" s="359"/>
      <c r="H311" s="245"/>
      <c r="I311" s="245"/>
      <c r="J311" s="245"/>
      <c r="K311" s="360"/>
      <c r="L311" s="245"/>
      <c r="M311" s="324"/>
      <c r="N311" s="361"/>
      <c r="O311" s="361"/>
      <c r="P311" s="361"/>
      <c r="Q311" s="361"/>
      <c r="R311" s="361"/>
      <c r="S311" s="361"/>
      <c r="T311" s="361"/>
      <c r="U311" s="361"/>
      <c r="V311" s="324"/>
    </row>
    <row r="312" spans="1:22">
      <c r="A312" s="245"/>
      <c r="B312" s="245"/>
      <c r="C312" s="245"/>
      <c r="D312" s="245"/>
      <c r="E312" s="246"/>
      <c r="F312" s="359"/>
      <c r="G312" s="359"/>
      <c r="H312" s="245"/>
      <c r="I312" s="245"/>
      <c r="J312" s="245"/>
      <c r="K312" s="360"/>
      <c r="L312" s="245"/>
      <c r="M312" s="324"/>
      <c r="N312" s="361"/>
      <c r="O312" s="361"/>
      <c r="P312" s="361"/>
      <c r="Q312" s="361"/>
      <c r="R312" s="361"/>
      <c r="S312" s="361"/>
      <c r="T312" s="361"/>
      <c r="U312" s="361"/>
      <c r="V312" s="324"/>
    </row>
    <row r="313" spans="1:22">
      <c r="A313" s="245"/>
      <c r="B313" s="245"/>
      <c r="C313" s="245"/>
      <c r="D313" s="245"/>
      <c r="E313" s="246"/>
      <c r="F313" s="359"/>
      <c r="G313" s="359"/>
      <c r="H313" s="245"/>
      <c r="I313" s="245"/>
      <c r="J313" s="245"/>
      <c r="K313" s="360"/>
      <c r="L313" s="245"/>
      <c r="M313" s="324"/>
      <c r="N313" s="361"/>
      <c r="O313" s="361"/>
      <c r="P313" s="361"/>
      <c r="Q313" s="361"/>
      <c r="R313" s="361"/>
      <c r="S313" s="361"/>
      <c r="T313" s="361"/>
      <c r="U313" s="361"/>
      <c r="V313" s="324"/>
    </row>
    <row r="314" spans="1:22">
      <c r="A314" s="245"/>
      <c r="B314" s="245"/>
      <c r="C314" s="245"/>
      <c r="D314" s="245"/>
      <c r="E314" s="246"/>
      <c r="F314" s="359"/>
      <c r="G314" s="359"/>
      <c r="H314" s="245"/>
      <c r="I314" s="245"/>
      <c r="J314" s="245"/>
      <c r="K314" s="360"/>
      <c r="L314" s="245"/>
      <c r="M314" s="324"/>
      <c r="N314" s="361"/>
      <c r="O314" s="361"/>
      <c r="P314" s="361"/>
      <c r="Q314" s="361"/>
      <c r="R314" s="361"/>
      <c r="S314" s="361"/>
      <c r="T314" s="361"/>
      <c r="U314" s="361"/>
      <c r="V314" s="324"/>
    </row>
    <row r="315" spans="1:22">
      <c r="A315" s="245"/>
      <c r="B315" s="245"/>
      <c r="C315" s="245"/>
      <c r="D315" s="245"/>
      <c r="E315" s="246"/>
      <c r="F315" s="359"/>
      <c r="G315" s="359"/>
      <c r="H315" s="245"/>
      <c r="I315" s="245"/>
      <c r="J315" s="245"/>
      <c r="K315" s="360"/>
      <c r="L315" s="245"/>
      <c r="M315" s="324"/>
      <c r="N315" s="361"/>
      <c r="O315" s="361"/>
      <c r="P315" s="361"/>
      <c r="Q315" s="361"/>
      <c r="R315" s="361"/>
      <c r="S315" s="361"/>
      <c r="T315" s="361"/>
      <c r="U315" s="361"/>
      <c r="V315" s="324"/>
    </row>
    <row r="316" spans="1:22">
      <c r="A316" s="245"/>
      <c r="B316" s="245"/>
      <c r="C316" s="245"/>
      <c r="D316" s="245"/>
      <c r="E316" s="246"/>
      <c r="F316" s="359"/>
      <c r="G316" s="359"/>
      <c r="H316" s="245"/>
      <c r="I316" s="245"/>
      <c r="J316" s="245"/>
      <c r="K316" s="360"/>
      <c r="L316" s="245"/>
      <c r="M316" s="324"/>
      <c r="N316" s="361"/>
      <c r="O316" s="361"/>
      <c r="P316" s="361"/>
      <c r="Q316" s="361"/>
      <c r="R316" s="361"/>
      <c r="S316" s="361"/>
      <c r="T316" s="361"/>
      <c r="U316" s="361"/>
      <c r="V316" s="324"/>
    </row>
    <row r="317" spans="1:22">
      <c r="A317" s="245"/>
      <c r="B317" s="245"/>
      <c r="C317" s="245"/>
      <c r="D317" s="245"/>
      <c r="E317" s="246"/>
      <c r="F317" s="359"/>
      <c r="G317" s="359"/>
      <c r="H317" s="245"/>
      <c r="I317" s="245"/>
      <c r="J317" s="245"/>
      <c r="K317" s="360"/>
      <c r="L317" s="245"/>
      <c r="M317" s="324"/>
      <c r="N317" s="361"/>
      <c r="O317" s="361"/>
      <c r="P317" s="361"/>
      <c r="Q317" s="361"/>
      <c r="R317" s="361"/>
      <c r="S317" s="361"/>
      <c r="T317" s="361"/>
      <c r="U317" s="361"/>
      <c r="V317" s="324"/>
    </row>
    <row r="318" spans="1:22">
      <c r="A318" s="245"/>
      <c r="B318" s="245"/>
      <c r="C318" s="245"/>
      <c r="D318" s="245"/>
      <c r="E318" s="246"/>
      <c r="F318" s="359"/>
      <c r="G318" s="359"/>
      <c r="H318" s="245"/>
      <c r="I318" s="245"/>
      <c r="J318" s="245"/>
      <c r="K318" s="360"/>
      <c r="L318" s="245"/>
      <c r="N318" s="303"/>
      <c r="O318" s="303"/>
      <c r="P318" s="303"/>
      <c r="Q318" s="303"/>
      <c r="R318" s="303"/>
      <c r="S318" s="303"/>
      <c r="T318" s="303"/>
      <c r="U318" s="303"/>
    </row>
    <row r="319" spans="1:22">
      <c r="A319" s="245"/>
      <c r="B319" s="245"/>
      <c r="C319" s="245"/>
      <c r="D319" s="245"/>
      <c r="E319" s="246"/>
      <c r="F319" s="359"/>
      <c r="G319" s="359"/>
      <c r="H319" s="245"/>
      <c r="I319" s="245"/>
      <c r="J319" s="245"/>
      <c r="K319" s="360"/>
      <c r="L319" s="245"/>
      <c r="N319" s="303"/>
      <c r="O319" s="303"/>
      <c r="P319" s="303"/>
      <c r="Q319" s="303"/>
      <c r="R319" s="303"/>
      <c r="S319" s="303"/>
      <c r="T319" s="303"/>
      <c r="U319" s="303"/>
    </row>
    <row r="320" spans="1:22">
      <c r="A320" s="245"/>
      <c r="B320" s="245"/>
      <c r="C320" s="245"/>
      <c r="D320" s="245"/>
      <c r="E320" s="246"/>
      <c r="F320" s="359"/>
      <c r="G320" s="359"/>
      <c r="H320" s="245"/>
      <c r="I320" s="245"/>
      <c r="J320" s="245"/>
      <c r="K320" s="360"/>
      <c r="L320" s="245"/>
      <c r="N320" s="303"/>
      <c r="O320" s="303"/>
      <c r="P320" s="303"/>
      <c r="Q320" s="303"/>
      <c r="R320" s="303"/>
      <c r="S320" s="303"/>
      <c r="T320" s="303"/>
      <c r="U320" s="303"/>
    </row>
    <row r="321" spans="1:21">
      <c r="A321" s="245"/>
      <c r="B321" s="245"/>
      <c r="C321" s="245"/>
      <c r="D321" s="245"/>
      <c r="E321" s="246"/>
      <c r="F321" s="359"/>
      <c r="G321" s="359"/>
      <c r="H321" s="245"/>
      <c r="I321" s="245"/>
      <c r="J321" s="245"/>
      <c r="K321" s="360"/>
      <c r="L321" s="245"/>
      <c r="N321" s="303"/>
      <c r="O321" s="303"/>
      <c r="P321" s="303"/>
      <c r="Q321" s="303"/>
      <c r="R321" s="303"/>
      <c r="S321" s="303"/>
      <c r="T321" s="303"/>
      <c r="U321" s="303"/>
    </row>
    <row r="322" spans="1:21">
      <c r="A322" s="245"/>
      <c r="B322" s="245"/>
      <c r="C322" s="245"/>
      <c r="D322" s="245"/>
      <c r="E322" s="246"/>
      <c r="F322" s="359"/>
      <c r="G322" s="359"/>
      <c r="H322" s="245"/>
      <c r="I322" s="245"/>
      <c r="J322" s="245"/>
      <c r="K322" s="360"/>
      <c r="L322" s="245"/>
      <c r="N322" s="303"/>
      <c r="O322" s="303"/>
      <c r="P322" s="303"/>
      <c r="Q322" s="303"/>
      <c r="R322" s="303"/>
      <c r="S322" s="303"/>
      <c r="T322" s="303"/>
      <c r="U322" s="303"/>
    </row>
    <row r="323" spans="1:21">
      <c r="A323" s="245"/>
      <c r="B323" s="245"/>
      <c r="C323" s="245"/>
      <c r="D323" s="245"/>
      <c r="E323" s="246"/>
      <c r="F323" s="359"/>
      <c r="G323" s="359"/>
      <c r="H323" s="245"/>
      <c r="I323" s="245"/>
      <c r="J323" s="245"/>
      <c r="K323" s="360"/>
      <c r="L323" s="245"/>
      <c r="N323" s="303"/>
      <c r="O323" s="303"/>
      <c r="P323" s="303"/>
      <c r="Q323" s="303"/>
      <c r="R323" s="303"/>
      <c r="S323" s="303"/>
      <c r="T323" s="303"/>
      <c r="U323" s="303"/>
    </row>
    <row r="324" spans="1:21">
      <c r="A324" s="245"/>
      <c r="B324" s="245"/>
      <c r="C324" s="245"/>
      <c r="D324" s="245"/>
      <c r="E324" s="246"/>
      <c r="F324" s="359"/>
      <c r="G324" s="359"/>
      <c r="H324" s="245"/>
      <c r="I324" s="245"/>
      <c r="J324" s="245"/>
      <c r="K324" s="360"/>
      <c r="L324" s="245"/>
      <c r="N324" s="303"/>
      <c r="O324" s="303"/>
      <c r="P324" s="303"/>
      <c r="Q324" s="303"/>
      <c r="R324" s="303"/>
      <c r="S324" s="303"/>
      <c r="T324" s="303"/>
      <c r="U324" s="303"/>
    </row>
    <row r="325" spans="1:21">
      <c r="A325" s="245"/>
      <c r="B325" s="245"/>
      <c r="C325" s="245"/>
      <c r="D325" s="245"/>
      <c r="E325" s="246"/>
      <c r="F325" s="359"/>
      <c r="G325" s="359"/>
      <c r="H325" s="245"/>
      <c r="I325" s="245"/>
      <c r="J325" s="245"/>
      <c r="K325" s="360"/>
      <c r="L325" s="245"/>
      <c r="N325" s="303"/>
      <c r="O325" s="303"/>
      <c r="P325" s="303"/>
      <c r="Q325" s="303"/>
      <c r="R325" s="303"/>
      <c r="S325" s="303"/>
      <c r="T325" s="303"/>
      <c r="U325" s="303"/>
    </row>
    <row r="326" spans="1:21">
      <c r="A326" s="245"/>
      <c r="B326" s="245"/>
      <c r="C326" s="245"/>
      <c r="D326" s="245"/>
      <c r="E326" s="246"/>
      <c r="F326" s="359"/>
      <c r="G326" s="359"/>
      <c r="H326" s="245"/>
      <c r="I326" s="245"/>
      <c r="J326" s="245"/>
      <c r="K326" s="360"/>
      <c r="L326" s="245"/>
      <c r="N326" s="303"/>
      <c r="O326" s="303"/>
      <c r="P326" s="303"/>
      <c r="Q326" s="303"/>
      <c r="R326" s="303"/>
      <c r="S326" s="303"/>
      <c r="T326" s="303"/>
      <c r="U326" s="303"/>
    </row>
    <row r="327" spans="1:21">
      <c r="A327" s="245"/>
      <c r="B327" s="245"/>
      <c r="C327" s="245"/>
      <c r="D327" s="245"/>
      <c r="E327" s="246"/>
      <c r="F327" s="359"/>
      <c r="G327" s="359"/>
      <c r="H327" s="245"/>
      <c r="I327" s="245"/>
      <c r="J327" s="245"/>
      <c r="K327" s="360"/>
      <c r="L327" s="245"/>
      <c r="N327" s="303"/>
      <c r="O327" s="303"/>
      <c r="P327" s="303"/>
      <c r="Q327" s="303"/>
      <c r="R327" s="303"/>
      <c r="S327" s="303"/>
      <c r="T327" s="303"/>
      <c r="U327" s="303"/>
    </row>
    <row r="328" spans="1:21">
      <c r="A328" s="245"/>
      <c r="B328" s="245"/>
      <c r="C328" s="245"/>
      <c r="D328" s="245"/>
      <c r="E328" s="246"/>
      <c r="F328" s="359"/>
      <c r="G328" s="359"/>
      <c r="H328" s="245"/>
      <c r="I328" s="245"/>
      <c r="J328" s="245"/>
      <c r="K328" s="360"/>
      <c r="L328" s="245"/>
      <c r="N328" s="303"/>
      <c r="O328" s="303"/>
      <c r="P328" s="303"/>
      <c r="Q328" s="303"/>
      <c r="R328" s="303"/>
      <c r="S328" s="303"/>
      <c r="T328" s="303"/>
      <c r="U328" s="303"/>
    </row>
    <row r="329" spans="1:21">
      <c r="A329" s="245"/>
      <c r="B329" s="245"/>
      <c r="C329" s="245"/>
      <c r="D329" s="245"/>
      <c r="E329" s="246"/>
      <c r="F329" s="359"/>
      <c r="G329" s="359"/>
      <c r="H329" s="245"/>
      <c r="I329" s="245"/>
      <c r="J329" s="245"/>
      <c r="K329" s="360"/>
      <c r="L329" s="245"/>
      <c r="N329" s="303"/>
      <c r="O329" s="303"/>
      <c r="P329" s="303"/>
      <c r="Q329" s="303"/>
      <c r="R329" s="303"/>
      <c r="S329" s="303"/>
      <c r="T329" s="303"/>
      <c r="U329" s="303"/>
    </row>
  </sheetData>
  <mergeCells count="120">
    <mergeCell ref="AF9:AH9"/>
    <mergeCell ref="U24:U27"/>
    <mergeCell ref="C184:D184"/>
    <mergeCell ref="C185:D185"/>
    <mergeCell ref="H134:J134"/>
    <mergeCell ref="B112:B113"/>
    <mergeCell ref="C186:D186"/>
    <mergeCell ref="C99:D99"/>
    <mergeCell ref="C101:F101"/>
    <mergeCell ref="C52:D52"/>
    <mergeCell ref="C174:D174"/>
    <mergeCell ref="J181:K181"/>
    <mergeCell ref="B166:K169"/>
    <mergeCell ref="C173:D173"/>
    <mergeCell ref="C175:D175"/>
    <mergeCell ref="B104:K104"/>
    <mergeCell ref="D106:K133"/>
    <mergeCell ref="B91:K94"/>
    <mergeCell ref="C176:F176"/>
    <mergeCell ref="B179:K179"/>
    <mergeCell ref="H182:I182"/>
    <mergeCell ref="H181:I181"/>
    <mergeCell ref="J182:K182"/>
    <mergeCell ref="F55:K55"/>
    <mergeCell ref="D244:K245"/>
    <mergeCell ref="H207:I207"/>
    <mergeCell ref="J207:K207"/>
    <mergeCell ref="C209:D209"/>
    <mergeCell ref="C210:D210"/>
    <mergeCell ref="F198:J198"/>
    <mergeCell ref="C215:D215"/>
    <mergeCell ref="C218:D218"/>
    <mergeCell ref="F218:J218"/>
    <mergeCell ref="C213:D213"/>
    <mergeCell ref="C214:D214"/>
    <mergeCell ref="C198:D198"/>
    <mergeCell ref="B214:B215"/>
    <mergeCell ref="C187:D187"/>
    <mergeCell ref="D137:K160"/>
    <mergeCell ref="C190:D190"/>
    <mergeCell ref="U6:U9"/>
    <mergeCell ref="U13:U14"/>
    <mergeCell ref="U15:U16"/>
    <mergeCell ref="U17:U18"/>
    <mergeCell ref="C98:D98"/>
    <mergeCell ref="B9:K9"/>
    <mergeCell ref="D81:K82"/>
    <mergeCell ref="D78:K79"/>
    <mergeCell ref="H80:J80"/>
    <mergeCell ref="D75:K76"/>
    <mergeCell ref="C51:D51"/>
    <mergeCell ref="C70:D70"/>
    <mergeCell ref="C69:D69"/>
    <mergeCell ref="C27:D27"/>
    <mergeCell ref="B45:B46"/>
    <mergeCell ref="U19:U20"/>
    <mergeCell ref="U21:U22"/>
    <mergeCell ref="C22:D22"/>
    <mergeCell ref="C24:D24"/>
    <mergeCell ref="C43:D43"/>
    <mergeCell ref="B259:K262"/>
    <mergeCell ref="H225:J225"/>
    <mergeCell ref="D230:K231"/>
    <mergeCell ref="H232:J232"/>
    <mergeCell ref="D234:K234"/>
    <mergeCell ref="B235:K235"/>
    <mergeCell ref="C211:D211"/>
    <mergeCell ref="C212:D212"/>
    <mergeCell ref="B188:B189"/>
    <mergeCell ref="B190:B191"/>
    <mergeCell ref="C195:D195"/>
    <mergeCell ref="C196:D196"/>
    <mergeCell ref="B212:B213"/>
    <mergeCell ref="C191:D191"/>
    <mergeCell ref="C194:D194"/>
    <mergeCell ref="C188:D188"/>
    <mergeCell ref="C189:D189"/>
    <mergeCell ref="C193:D193"/>
    <mergeCell ref="D247:K248"/>
    <mergeCell ref="H249:J249"/>
    <mergeCell ref="D254:K255"/>
    <mergeCell ref="H246:J246"/>
    <mergeCell ref="D241:K242"/>
    <mergeCell ref="H243:J243"/>
    <mergeCell ref="B19:B20"/>
    <mergeCell ref="C19:D19"/>
    <mergeCell ref="C20:D20"/>
    <mergeCell ref="B21:B22"/>
    <mergeCell ref="C21:D21"/>
    <mergeCell ref="C25:D25"/>
    <mergeCell ref="F29:J29"/>
    <mergeCell ref="B110:B111"/>
    <mergeCell ref="C100:D100"/>
    <mergeCell ref="C26:D26"/>
    <mergeCell ref="F54:J54"/>
    <mergeCell ref="H83:J83"/>
    <mergeCell ref="D88:K89"/>
    <mergeCell ref="C65:D65"/>
    <mergeCell ref="C66:D66"/>
    <mergeCell ref="C67:D67"/>
    <mergeCell ref="C68:D68"/>
    <mergeCell ref="C29:D29"/>
    <mergeCell ref="C40:D40"/>
    <mergeCell ref="C41:D41"/>
    <mergeCell ref="C42:D42"/>
    <mergeCell ref="B43:B44"/>
    <mergeCell ref="H77:J77"/>
    <mergeCell ref="C45:D45"/>
    <mergeCell ref="C50:D50"/>
    <mergeCell ref="C46:D46"/>
    <mergeCell ref="M1:M2"/>
    <mergeCell ref="C3:D3"/>
    <mergeCell ref="C4:D4"/>
    <mergeCell ref="C5:D5"/>
    <mergeCell ref="C6:F6"/>
    <mergeCell ref="C15:D15"/>
    <mergeCell ref="C16:D16"/>
    <mergeCell ref="C17:D17"/>
    <mergeCell ref="C18:D18"/>
    <mergeCell ref="C44:D44"/>
  </mergeCells>
  <phoneticPr fontId="65" type="noConversion"/>
  <conditionalFormatting sqref="N16:N17">
    <cfRule type="expression" dxfId="9" priority="5">
      <formula>AND(#REF!="aislone",#REF!="capa fina")</formula>
    </cfRule>
  </conditionalFormatting>
  <conditionalFormatting sqref="Q16:Q17">
    <cfRule type="expression" dxfId="8" priority="4">
      <formula>AND(#REF!="aislone",#REF!="capa fina")</formula>
    </cfRule>
  </conditionalFormatting>
  <conditionalFormatting sqref="N18:N19">
    <cfRule type="expression" dxfId="7" priority="3">
      <formula>#REF!="webertherm clima"</formula>
    </cfRule>
  </conditionalFormatting>
  <conditionalFormatting sqref="N42">
    <cfRule type="expression" dxfId="6" priority="2">
      <formula>AND(#REF!="aislone",#REF!="capa fina")</formula>
    </cfRule>
  </conditionalFormatting>
  <conditionalFormatting sqref="N43">
    <cfRule type="expression" dxfId="5" priority="1">
      <formula>#REF!="webertherm clima"</formula>
    </cfRule>
  </conditionalFormatting>
  <dataValidations count="3">
    <dataValidation type="list" allowBlank="1" showInputMessage="1" showErrorMessage="1" sqref="C122" xr:uid="{00000000-0002-0000-0300-000000000000}">
      <formula1>$B$247:$B$248</formula1>
    </dataValidation>
    <dataValidation type="list" allowBlank="1" showInputMessage="1" showErrorMessage="1" sqref="C53" xr:uid="{00000000-0002-0000-0300-000001000000}">
      <formula1>$B$249:$B$254</formula1>
    </dataValidation>
    <dataValidation type="list" allowBlank="1" showInputMessage="1" showErrorMessage="1" sqref="G15" xr:uid="{00000000-0002-0000-0300-000002000000}">
      <formula1>$W$14:$W$15</formula1>
    </dataValidation>
  </dataValidations>
  <hyperlinks>
    <hyperlink ref="M1:M2" location="FACHADAS!A1" display="INICIO" xr:uid="{00000000-0004-0000-0300-000000000000}"/>
  </hyperlinks>
  <printOptions horizontalCentered="1"/>
  <pageMargins left="0.23622047244094491" right="0.23622047244094491" top="0.74803149606299213" bottom="0.74803149606299213" header="0.31496062992125984" footer="0.31496062992125984"/>
  <pageSetup paperSize="9" scale="55" fitToHeight="0" orientation="portrait" horizontalDpi="1200" verticalDpi="1200" r:id="rId1"/>
  <headerFooter>
    <oddFooter>&amp;C&amp;"Weber,Normal"&amp;9&amp;K01+049Saint-Gobain Weber Cemarksa, S.A.
www.es.weber</oddFooter>
  </headerFooter>
  <ignoredErrors>
    <ignoredError sqref="J186 J190" formula="1"/>
  </ignoredErrors>
  <drawing r:id="rId2"/>
  <legacyDrawing r:id="rId3"/>
  <extLst>
    <ext xmlns:x14="http://schemas.microsoft.com/office/spreadsheetml/2009/9/main" uri="{CCE6A557-97BC-4b89-ADB6-D9C93CAAB3DF}">
      <x14:dataValidations xmlns:xm="http://schemas.microsoft.com/office/excel/2006/main" count="22">
        <x14:dataValidation type="list" allowBlank="1" showInputMessage="1" showErrorMessage="1" xr:uid="{00000000-0002-0000-0300-000007000000}">
          <x14:formula1>
            <xm:f>'Listas-1'!$AB$13:$AB$24</xm:f>
          </x14:formula1>
          <xm:sqref>C64:D64 C125</xm:sqref>
        </x14:dataValidation>
        <x14:dataValidation type="list" allowBlank="1" showInputMessage="1" showErrorMessage="1" xr:uid="{00000000-0002-0000-0300-00000C000000}">
          <x14:formula1>
            <xm:f>'Listas-2'!$B$236:$B$240</xm:f>
          </x14:formula1>
          <xm:sqref>C50:D50</xm:sqref>
        </x14:dataValidation>
        <x14:dataValidation type="list" allowBlank="1" showInputMessage="1" showErrorMessage="1" xr:uid="{00000000-0002-0000-0300-00000D000000}">
          <x14:formula1>
            <xm:f>'Listas-2'!$B$241:$B$242</xm:f>
          </x14:formula1>
          <xm:sqref>C51:D51</xm:sqref>
        </x14:dataValidation>
        <x14:dataValidation type="list" allowBlank="1" showInputMessage="1" showErrorMessage="1" xr:uid="{00000000-0002-0000-0300-00000E000000}">
          <x14:formula1>
            <xm:f>'Listas-2'!$B$244:$B$248</xm:f>
          </x14:formula1>
          <xm:sqref>C27:D27</xm:sqref>
        </x14:dataValidation>
        <x14:dataValidation type="list" allowBlank="1" showInputMessage="1" showErrorMessage="1" xr:uid="{00000000-0002-0000-0300-00000F000000}">
          <x14:formula1>
            <xm:f>'Listas-2'!$B$250:$B$261</xm:f>
          </x14:formula1>
          <xm:sqref>C69:D69</xm:sqref>
        </x14:dataValidation>
        <x14:dataValidation type="list" allowBlank="1" showInputMessage="1" showErrorMessage="1" xr:uid="{00000000-0002-0000-0300-000010000000}">
          <x14:formula1>
            <xm:f>'Listas-2'!$B$263:$B$265</xm:f>
          </x14:formula1>
          <xm:sqref>C70:D70</xm:sqref>
        </x14:dataValidation>
        <x14:dataValidation type="list" allowBlank="1" showInputMessage="1" showErrorMessage="1" xr:uid="{00000000-0002-0000-0300-000011000000}">
          <x14:formula1>
            <xm:f>'Listas-2'!$B$196:$B$215</xm:f>
          </x14:formula1>
          <xm:sqref>C52:D52</xm:sqref>
        </x14:dataValidation>
        <x14:dataValidation type="list" allowBlank="1" showInputMessage="1" showErrorMessage="1" xr:uid="{00000000-0002-0000-0300-000012000000}">
          <x14:formula1>
            <xm:f>'Listas-2'!$B$125:$B$159</xm:f>
          </x14:formula1>
          <xm:sqref>C18:D18</xm:sqref>
        </x14:dataValidation>
        <x14:dataValidation type="list" allowBlank="1" showInputMessage="1" showErrorMessage="1" xr:uid="{00000000-0002-0000-0300-000013000000}">
          <x14:formula1>
            <xm:f>'Listas-2'!$B$125:$B$161</xm:f>
          </x14:formula1>
          <xm:sqref>C42:D42</xm:sqref>
        </x14:dataValidation>
        <x14:dataValidation type="list" allowBlank="1" showInputMessage="1" showErrorMessage="1" xr:uid="{00000000-0002-0000-0300-000015000000}">
          <x14:formula1>
            <xm:f>'Listas-2'!#REF!</xm:f>
          </x14:formula1>
          <xm:sqref>C123</xm:sqref>
        </x14:dataValidation>
        <x14:dataValidation type="list" allowBlank="1" showInputMessage="1" showErrorMessage="1" xr:uid="{00000000-0002-0000-0300-000017000000}">
          <x14:formula1>
            <xm:f>'Listas-2'!$B$196:$B$234</xm:f>
          </x14:formula1>
          <xm:sqref>C126 C65:D68</xm:sqref>
        </x14:dataValidation>
        <x14:dataValidation type="list" allowBlank="1" showInputMessage="1" showErrorMessage="1" xr:uid="{00000000-0002-0000-0300-00001B000000}">
          <x14:formula1>
            <xm:f>'Listas-2'!$B$12:$B$50</xm:f>
          </x14:formula1>
          <xm:sqref>C17:D17 C41:D41</xm:sqref>
        </x14:dataValidation>
        <x14:dataValidation type="list" allowBlank="1" showInputMessage="1" showErrorMessage="1" xr:uid="{00000000-0002-0000-0300-000008000000}">
          <x14:formula1>
            <xm:f>'Listas-2'!$B$168:$B$171</xm:f>
          </x14:formula1>
          <xm:sqref>C44:D44</xm:sqref>
        </x14:dataValidation>
        <x14:dataValidation type="list" allowBlank="1" showInputMessage="1" showErrorMessage="1" xr:uid="{00000000-0002-0000-0300-000018000000}">
          <x14:formula1>
            <xm:f>'Listas-2'!$B$168:$B$168</xm:f>
          </x14:formula1>
          <xm:sqref>C20:D20</xm:sqref>
        </x14:dataValidation>
        <x14:dataValidation type="list" allowBlank="1" showInputMessage="1" showErrorMessage="1" xr:uid="{00000000-0002-0000-0300-000004000000}">
          <x14:formula1>
            <xm:f>'Listas-2'!$B$174:$B$175</xm:f>
          </x14:formula1>
          <xm:sqref>C45:D45 C21:D21</xm:sqref>
        </x14:dataValidation>
        <x14:dataValidation type="list" allowBlank="1" showInputMessage="1" showErrorMessage="1" xr:uid="{00000000-0002-0000-0300-00001A000000}">
          <x14:formula1>
            <xm:f>'Listas-2'!$B$177:$B$181</xm:f>
          </x14:formula1>
          <xm:sqref>C22:D22 C46:D46</xm:sqref>
        </x14:dataValidation>
        <x14:dataValidation type="list" allowBlank="1" showInputMessage="1" showErrorMessage="1" xr:uid="{00000000-0002-0000-0300-000003000000}">
          <x14:formula1>
            <xm:f>'Listas-2'!$B$117:$B$118</xm:f>
          </x14:formula1>
          <xm:sqref>C19:D19</xm:sqref>
        </x14:dataValidation>
        <x14:dataValidation type="list" allowBlank="1" showInputMessage="1" showErrorMessage="1" xr:uid="{7A9E07BB-B116-4B37-A24E-0CC4FE0E9365}">
          <x14:formula1>
            <xm:f>'Listas-2'!$B$116:$B$118</xm:f>
          </x14:formula1>
          <xm:sqref>C16:D16 C40:D40 C43:D43</xm:sqref>
        </x14:dataValidation>
        <x14:dataValidation type="list" allowBlank="1" showInputMessage="1" showErrorMessage="1" xr:uid="{18A379C3-F929-44CC-8CD4-B5C21534C784}">
          <x14:formula1>
            <xm:f>'calculo espigas'!$D$7:$D$17</xm:f>
          </x14:formula1>
          <xm:sqref>AG11</xm:sqref>
        </x14:dataValidation>
        <x14:dataValidation type="list" allowBlank="1" showInputMessage="1" showErrorMessage="1" xr:uid="{746038AF-4A57-4B7F-82E3-9FB713213BD8}">
          <x14:formula1>
            <xm:f>'calculo espigas'!$C$2:$C$4</xm:f>
          </x14:formula1>
          <xm:sqref>AG12:AH12</xm:sqref>
        </x14:dataValidation>
        <x14:dataValidation type="list" allowBlank="1" showInputMessage="1" showErrorMessage="1" xr:uid="{CE5C1418-0577-4B23-B9BB-C7182503253C}">
          <x14:formula1>
            <xm:f>'calculo espigas'!$H$34:$H$58</xm:f>
          </x14:formula1>
          <xm:sqref>AH11</xm:sqref>
        </x14:dataValidation>
        <x14:dataValidation type="list" allowBlank="1" showInputMessage="1" showErrorMessage="1" xr:uid="{00000000-0002-0000-0300-00000B000000}">
          <x14:formula1>
            <xm:f>'Listas-2'!$B$183:$B$193</xm:f>
          </x14:formula1>
          <xm:sqref>C26:D26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28EA3-3663-4488-98C6-F6ADA79FD81A}">
  <dimension ref="C2:I58"/>
  <sheetViews>
    <sheetView topLeftCell="A29" workbookViewId="0">
      <selection activeCell="G59" sqref="G59"/>
    </sheetView>
  </sheetViews>
  <sheetFormatPr baseColWidth="10" defaultRowHeight="14.5"/>
  <cols>
    <col min="3" max="3" width="28.81640625" customWidth="1"/>
    <col min="5" max="5" width="37" customWidth="1"/>
    <col min="7" max="7" width="26.54296875" customWidth="1"/>
    <col min="9" max="9" width="28.26953125" customWidth="1"/>
  </cols>
  <sheetData>
    <row r="2" spans="3:5">
      <c r="C2" t="s">
        <v>864</v>
      </c>
    </row>
    <row r="3" spans="3:5">
      <c r="C3" t="s">
        <v>870</v>
      </c>
    </row>
    <row r="4" spans="3:5">
      <c r="C4" t="s">
        <v>237</v>
      </c>
    </row>
    <row r="6" spans="3:5">
      <c r="D6" s="55" t="s">
        <v>865</v>
      </c>
      <c r="E6" s="55" t="s">
        <v>866</v>
      </c>
    </row>
    <row r="7" spans="3:5">
      <c r="C7" t="s">
        <v>872</v>
      </c>
      <c r="D7">
        <v>60</v>
      </c>
      <c r="E7">
        <v>40</v>
      </c>
    </row>
    <row r="8" spans="3:5">
      <c r="C8" t="s">
        <v>873</v>
      </c>
      <c r="D8">
        <v>80</v>
      </c>
      <c r="E8">
        <v>60</v>
      </c>
    </row>
    <row r="9" spans="3:5">
      <c r="C9" t="s">
        <v>874</v>
      </c>
      <c r="D9">
        <v>100</v>
      </c>
      <c r="E9">
        <v>80</v>
      </c>
    </row>
    <row r="10" spans="3:5">
      <c r="C10" t="s">
        <v>875</v>
      </c>
      <c r="D10">
        <v>120</v>
      </c>
      <c r="E10">
        <v>100</v>
      </c>
    </row>
    <row r="11" spans="3:5">
      <c r="C11" t="s">
        <v>876</v>
      </c>
      <c r="D11">
        <v>140</v>
      </c>
      <c r="E11">
        <v>120</v>
      </c>
    </row>
    <row r="12" spans="3:5">
      <c r="C12" t="s">
        <v>877</v>
      </c>
      <c r="D12">
        <v>160</v>
      </c>
      <c r="E12">
        <v>140</v>
      </c>
    </row>
    <row r="13" spans="3:5">
      <c r="C13" t="s">
        <v>878</v>
      </c>
      <c r="D13">
        <v>180</v>
      </c>
      <c r="E13">
        <v>160</v>
      </c>
    </row>
    <row r="14" spans="3:5">
      <c r="C14" t="s">
        <v>879</v>
      </c>
      <c r="D14">
        <v>200</v>
      </c>
      <c r="E14">
        <v>180</v>
      </c>
    </row>
    <row r="15" spans="3:5">
      <c r="C15" t="s">
        <v>880</v>
      </c>
      <c r="D15">
        <v>220</v>
      </c>
      <c r="E15">
        <v>200</v>
      </c>
    </row>
    <row r="16" spans="3:5">
      <c r="C16" t="s">
        <v>881</v>
      </c>
      <c r="D16">
        <v>240</v>
      </c>
      <c r="E16">
        <v>220</v>
      </c>
    </row>
    <row r="17" spans="3:7">
      <c r="C17" t="s">
        <v>882</v>
      </c>
      <c r="D17">
        <v>260</v>
      </c>
      <c r="E17">
        <v>240</v>
      </c>
    </row>
    <row r="18" spans="3:7">
      <c r="C18" t="s">
        <v>883</v>
      </c>
      <c r="D18">
        <v>80</v>
      </c>
      <c r="E18" t="s">
        <v>98</v>
      </c>
    </row>
    <row r="19" spans="3:7">
      <c r="C19" t="s">
        <v>884</v>
      </c>
      <c r="D19">
        <v>100</v>
      </c>
      <c r="E19">
        <v>60</v>
      </c>
    </row>
    <row r="20" spans="3:7">
      <c r="C20" t="s">
        <v>885</v>
      </c>
      <c r="D20">
        <v>120</v>
      </c>
      <c r="E20">
        <v>80</v>
      </c>
    </row>
    <row r="21" spans="3:7">
      <c r="C21" t="s">
        <v>886</v>
      </c>
      <c r="D21">
        <v>140</v>
      </c>
      <c r="E21">
        <v>100</v>
      </c>
    </row>
    <row r="22" spans="3:7">
      <c r="C22" t="s">
        <v>887</v>
      </c>
      <c r="D22">
        <v>160</v>
      </c>
      <c r="E22">
        <v>120</v>
      </c>
    </row>
    <row r="23" spans="3:7">
      <c r="C23" t="s">
        <v>40</v>
      </c>
    </row>
    <row r="32" spans="3:7">
      <c r="C32" s="1" t="s">
        <v>867</v>
      </c>
      <c r="G32" s="1" t="s">
        <v>913</v>
      </c>
    </row>
    <row r="33" spans="3:9" ht="9" customHeight="1"/>
    <row r="34" spans="3:9">
      <c r="C34" t="s">
        <v>888</v>
      </c>
      <c r="D34">
        <v>60</v>
      </c>
      <c r="E34" t="s">
        <v>872</v>
      </c>
      <c r="G34" t="s">
        <v>914</v>
      </c>
      <c r="H34">
        <v>40</v>
      </c>
      <c r="I34" t="s">
        <v>872</v>
      </c>
    </row>
    <row r="35" spans="3:9">
      <c r="C35" t="s">
        <v>889</v>
      </c>
      <c r="D35">
        <v>80</v>
      </c>
      <c r="E35" t="s">
        <v>873</v>
      </c>
      <c r="G35" t="s">
        <v>888</v>
      </c>
      <c r="H35">
        <v>60</v>
      </c>
      <c r="I35" t="s">
        <v>873</v>
      </c>
    </row>
    <row r="36" spans="3:9">
      <c r="C36" t="s">
        <v>890</v>
      </c>
      <c r="D36">
        <v>100</v>
      </c>
      <c r="E36" t="s">
        <v>874</v>
      </c>
      <c r="G36" t="s">
        <v>889</v>
      </c>
      <c r="H36">
        <v>80</v>
      </c>
      <c r="I36" t="s">
        <v>874</v>
      </c>
    </row>
    <row r="37" spans="3:9">
      <c r="C37" t="s">
        <v>891</v>
      </c>
      <c r="D37">
        <v>120</v>
      </c>
      <c r="E37" t="s">
        <v>875</v>
      </c>
      <c r="G37" t="s">
        <v>890</v>
      </c>
      <c r="H37">
        <v>100</v>
      </c>
      <c r="I37" t="s">
        <v>875</v>
      </c>
    </row>
    <row r="38" spans="3:9">
      <c r="C38" t="s">
        <v>892</v>
      </c>
      <c r="D38">
        <v>140</v>
      </c>
      <c r="E38" t="s">
        <v>876</v>
      </c>
      <c r="G38" t="s">
        <v>891</v>
      </c>
      <c r="H38">
        <v>120</v>
      </c>
      <c r="I38" t="s">
        <v>876</v>
      </c>
    </row>
    <row r="39" spans="3:9">
      <c r="C39" t="s">
        <v>893</v>
      </c>
      <c r="D39">
        <v>160</v>
      </c>
      <c r="E39" t="s">
        <v>877</v>
      </c>
      <c r="G39" t="s">
        <v>892</v>
      </c>
      <c r="H39">
        <v>140</v>
      </c>
      <c r="I39" t="s">
        <v>877</v>
      </c>
    </row>
    <row r="40" spans="3:9">
      <c r="C40" t="s">
        <v>894</v>
      </c>
      <c r="D40">
        <v>180</v>
      </c>
      <c r="E40" t="s">
        <v>878</v>
      </c>
      <c r="G40" t="s">
        <v>893</v>
      </c>
      <c r="H40">
        <v>160</v>
      </c>
      <c r="I40" t="s">
        <v>878</v>
      </c>
    </row>
    <row r="41" spans="3:9">
      <c r="C41" t="s">
        <v>895</v>
      </c>
      <c r="D41">
        <v>200</v>
      </c>
      <c r="E41" t="s">
        <v>879</v>
      </c>
      <c r="G41" t="s">
        <v>894</v>
      </c>
      <c r="H41">
        <v>180</v>
      </c>
      <c r="I41" t="s">
        <v>879</v>
      </c>
    </row>
    <row r="42" spans="3:9">
      <c r="C42" t="s">
        <v>896</v>
      </c>
      <c r="D42">
        <v>220</v>
      </c>
      <c r="E42" t="s">
        <v>880</v>
      </c>
      <c r="G42" t="s">
        <v>895</v>
      </c>
      <c r="H42">
        <v>200</v>
      </c>
      <c r="I42" t="s">
        <v>880</v>
      </c>
    </row>
    <row r="43" spans="3:9">
      <c r="C43" t="s">
        <v>897</v>
      </c>
      <c r="D43">
        <v>240</v>
      </c>
      <c r="E43" t="s">
        <v>881</v>
      </c>
      <c r="G43" t="s">
        <v>896</v>
      </c>
      <c r="H43">
        <v>220</v>
      </c>
      <c r="I43" t="s">
        <v>881</v>
      </c>
    </row>
    <row r="44" spans="3:9">
      <c r="C44" t="s">
        <v>898</v>
      </c>
      <c r="D44">
        <v>260</v>
      </c>
      <c r="E44" t="s">
        <v>882</v>
      </c>
      <c r="G44" t="s">
        <v>897</v>
      </c>
      <c r="H44">
        <v>240</v>
      </c>
      <c r="I44" t="s">
        <v>882</v>
      </c>
    </row>
    <row r="45" spans="3:9">
      <c r="C45" t="s">
        <v>899</v>
      </c>
      <c r="D45">
        <v>80</v>
      </c>
      <c r="E45" t="s">
        <v>883</v>
      </c>
      <c r="G45" t="s">
        <v>870</v>
      </c>
      <c r="H45" t="s">
        <v>98</v>
      </c>
      <c r="I45" t="s">
        <v>883</v>
      </c>
    </row>
    <row r="46" spans="3:9">
      <c r="C46" t="s">
        <v>900</v>
      </c>
      <c r="D46">
        <v>100</v>
      </c>
      <c r="E46" t="s">
        <v>884</v>
      </c>
      <c r="G46" t="s">
        <v>915</v>
      </c>
      <c r="H46">
        <v>60</v>
      </c>
      <c r="I46" t="s">
        <v>884</v>
      </c>
    </row>
    <row r="47" spans="3:9">
      <c r="C47" t="s">
        <v>901</v>
      </c>
      <c r="D47">
        <v>120</v>
      </c>
      <c r="E47" t="s">
        <v>885</v>
      </c>
      <c r="G47" t="s">
        <v>899</v>
      </c>
      <c r="H47">
        <v>80</v>
      </c>
      <c r="I47" t="s">
        <v>885</v>
      </c>
    </row>
    <row r="48" spans="3:9">
      <c r="C48" t="s">
        <v>902</v>
      </c>
      <c r="D48">
        <v>140</v>
      </c>
      <c r="E48" t="s">
        <v>886</v>
      </c>
      <c r="G48" t="s">
        <v>900</v>
      </c>
      <c r="H48">
        <v>100</v>
      </c>
      <c r="I48" t="s">
        <v>886</v>
      </c>
    </row>
    <row r="49" spans="3:9">
      <c r="C49" t="s">
        <v>903</v>
      </c>
      <c r="D49">
        <v>160</v>
      </c>
      <c r="E49" t="s">
        <v>887</v>
      </c>
      <c r="G49" t="s">
        <v>901</v>
      </c>
      <c r="H49">
        <v>120</v>
      </c>
      <c r="I49" t="s">
        <v>887</v>
      </c>
    </row>
    <row r="50" spans="3:9">
      <c r="C50" t="s">
        <v>904</v>
      </c>
      <c r="D50">
        <v>40</v>
      </c>
      <c r="E50" t="s">
        <v>40</v>
      </c>
      <c r="G50" t="s">
        <v>237</v>
      </c>
      <c r="H50" t="s">
        <v>98</v>
      </c>
      <c r="I50" t="s">
        <v>40</v>
      </c>
    </row>
    <row r="51" spans="3:9">
      <c r="C51" t="s">
        <v>905</v>
      </c>
      <c r="D51">
        <v>60</v>
      </c>
      <c r="E51" t="s">
        <v>41</v>
      </c>
      <c r="G51" t="s">
        <v>904</v>
      </c>
      <c r="H51">
        <v>40</v>
      </c>
      <c r="I51" t="s">
        <v>41</v>
      </c>
    </row>
    <row r="52" spans="3:9">
      <c r="C52" t="s">
        <v>906</v>
      </c>
      <c r="D52">
        <v>80</v>
      </c>
      <c r="E52" t="s">
        <v>42</v>
      </c>
      <c r="G52" t="s">
        <v>905</v>
      </c>
      <c r="H52">
        <v>60</v>
      </c>
      <c r="I52" t="s">
        <v>42</v>
      </c>
    </row>
    <row r="53" spans="3:9">
      <c r="C53" t="s">
        <v>907</v>
      </c>
      <c r="D53">
        <v>100</v>
      </c>
      <c r="E53" t="s">
        <v>43</v>
      </c>
      <c r="G53" t="s">
        <v>906</v>
      </c>
      <c r="H53">
        <v>80</v>
      </c>
      <c r="I53" t="s">
        <v>43</v>
      </c>
    </row>
    <row r="54" spans="3:9">
      <c r="C54" t="s">
        <v>908</v>
      </c>
      <c r="D54">
        <v>120</v>
      </c>
      <c r="E54" t="s">
        <v>44</v>
      </c>
      <c r="G54" t="s">
        <v>907</v>
      </c>
      <c r="H54">
        <v>100</v>
      </c>
      <c r="I54" t="s">
        <v>44</v>
      </c>
    </row>
    <row r="55" spans="3:9">
      <c r="C55" t="s">
        <v>909</v>
      </c>
      <c r="D55">
        <v>140</v>
      </c>
      <c r="E55" t="s">
        <v>45</v>
      </c>
      <c r="G55" t="s">
        <v>908</v>
      </c>
      <c r="H55">
        <v>120</v>
      </c>
      <c r="I55" t="s">
        <v>45</v>
      </c>
    </row>
    <row r="56" spans="3:9">
      <c r="C56" t="s">
        <v>910</v>
      </c>
      <c r="D56">
        <v>160</v>
      </c>
      <c r="E56" t="s">
        <v>46</v>
      </c>
      <c r="G56" t="s">
        <v>909</v>
      </c>
      <c r="H56">
        <v>140</v>
      </c>
      <c r="I56" t="s">
        <v>46</v>
      </c>
    </row>
    <row r="57" spans="3:9">
      <c r="C57" t="s">
        <v>911</v>
      </c>
      <c r="D57">
        <v>180</v>
      </c>
      <c r="E57" t="s">
        <v>47</v>
      </c>
      <c r="G57" t="s">
        <v>910</v>
      </c>
      <c r="H57">
        <v>160</v>
      </c>
      <c r="I57" t="s">
        <v>47</v>
      </c>
    </row>
    <row r="58" spans="3:9">
      <c r="C58" t="s">
        <v>912</v>
      </c>
      <c r="D58">
        <v>200</v>
      </c>
      <c r="E58" t="s">
        <v>48</v>
      </c>
      <c r="G58" t="s">
        <v>911</v>
      </c>
      <c r="H58">
        <v>180</v>
      </c>
      <c r="I58" t="s">
        <v>48</v>
      </c>
    </row>
  </sheetData>
  <phoneticPr fontId="65"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BV326"/>
  <sheetViews>
    <sheetView topLeftCell="A6" zoomScale="80" zoomScaleNormal="80" zoomScaleSheetLayoutView="80" workbookViewId="0">
      <selection activeCell="H20" sqref="H20"/>
    </sheetView>
  </sheetViews>
  <sheetFormatPr baseColWidth="10" defaultColWidth="11.54296875" defaultRowHeight="14"/>
  <cols>
    <col min="1" max="1" width="4.453125" style="240" customWidth="1"/>
    <col min="2" max="2" width="31.54296875" style="367" customWidth="1"/>
    <col min="3" max="3" width="11.26953125" style="367" customWidth="1"/>
    <col min="4" max="4" width="35.7265625" style="367" customWidth="1"/>
    <col min="5" max="5" width="10.453125" style="398" customWidth="1"/>
    <col min="6" max="6" width="12.1796875" style="399" customWidth="1"/>
    <col min="7" max="7" width="11.453125" style="399" customWidth="1"/>
    <col min="8" max="8" width="9.453125" style="367" bestFit="1" customWidth="1"/>
    <col min="9" max="9" width="12.453125" style="367" customWidth="1"/>
    <col min="10" max="10" width="16.26953125" style="367" customWidth="1"/>
    <col min="11" max="11" width="18.26953125" style="367" customWidth="1"/>
    <col min="12" max="12" width="2.81640625" style="240" customWidth="1"/>
    <col min="13" max="13" width="7.26953125" style="245" bestFit="1" customWidth="1"/>
    <col min="14" max="14" width="28.7265625" style="401" hidden="1" customWidth="1"/>
    <col min="15" max="15" width="4.26953125" style="401" hidden="1" customWidth="1"/>
    <col min="16" max="16" width="1.81640625" style="401" hidden="1" customWidth="1"/>
    <col min="17" max="17" width="7.1796875" style="401" hidden="1" customWidth="1"/>
    <col min="18" max="18" width="1.453125" style="401" hidden="1" customWidth="1"/>
    <col min="19" max="19" width="3.26953125" style="401" hidden="1" customWidth="1"/>
    <col min="20" max="20" width="2.1796875" style="401" hidden="1" customWidth="1"/>
    <col min="21" max="21" width="58.453125" style="401" hidden="1" customWidth="1"/>
    <col min="22" max="26" width="11.54296875" style="245" hidden="1" customWidth="1"/>
    <col min="27" max="27" width="11.54296875" style="245" customWidth="1"/>
    <col min="28" max="28" width="33.54296875" style="245" customWidth="1"/>
    <col min="29" max="29" width="29.81640625" style="245" customWidth="1"/>
    <col min="30" max="30" width="27.7265625" style="245" customWidth="1"/>
    <col min="31" max="31" width="3.81640625" style="245" customWidth="1"/>
    <col min="32" max="32" width="31.1796875" style="245" hidden="1" customWidth="1"/>
    <col min="33" max="49" width="11.54296875" style="245" customWidth="1"/>
    <col min="50" max="16384" width="11.54296875" style="245"/>
  </cols>
  <sheetData>
    <row r="1" spans="1:32" ht="15.5">
      <c r="B1" s="241"/>
      <c r="C1" s="240"/>
      <c r="D1" s="240"/>
      <c r="E1" s="242"/>
      <c r="F1" s="243"/>
      <c r="G1" s="243"/>
      <c r="H1" s="240"/>
      <c r="I1" s="240"/>
      <c r="J1" s="240"/>
      <c r="K1" s="240"/>
      <c r="M1" s="466" t="s">
        <v>184</v>
      </c>
      <c r="N1" s="245"/>
      <c r="O1" s="245"/>
      <c r="P1" s="245"/>
      <c r="Q1" s="245"/>
      <c r="R1" s="245"/>
      <c r="S1" s="245"/>
      <c r="T1" s="245"/>
      <c r="U1" s="245"/>
    </row>
    <row r="2" spans="1:32" ht="12.5">
      <c r="B2" s="240"/>
      <c r="C2" s="240"/>
      <c r="D2" s="240"/>
      <c r="E2" s="242"/>
      <c r="F2" s="243"/>
      <c r="G2" s="243"/>
      <c r="H2" s="240"/>
      <c r="I2" s="240"/>
      <c r="J2" s="240"/>
      <c r="K2" s="240"/>
      <c r="M2" s="466"/>
      <c r="N2" s="245"/>
      <c r="O2" s="245"/>
      <c r="P2" s="245"/>
      <c r="Q2" s="245"/>
      <c r="R2" s="245"/>
      <c r="S2" s="245"/>
      <c r="T2" s="245"/>
      <c r="U2" s="245"/>
    </row>
    <row r="3" spans="1:32">
      <c r="B3" s="247" t="s">
        <v>117</v>
      </c>
      <c r="C3" s="467">
        <f ca="1">TODAY()</f>
        <v>45701</v>
      </c>
      <c r="D3" s="467"/>
      <c r="E3" s="248"/>
      <c r="F3" s="249"/>
      <c r="G3" s="249"/>
      <c r="H3" s="248"/>
      <c r="I3" s="248"/>
      <c r="J3" s="248"/>
      <c r="K3" s="240"/>
      <c r="N3" s="250"/>
      <c r="O3" s="250"/>
      <c r="P3" s="250"/>
      <c r="Q3" s="250"/>
      <c r="R3" s="250"/>
      <c r="S3" s="250"/>
      <c r="T3" s="250"/>
      <c r="U3" s="251"/>
    </row>
    <row r="4" spans="1:32">
      <c r="B4" s="247" t="s">
        <v>118</v>
      </c>
      <c r="C4" s="468"/>
      <c r="D4" s="468"/>
      <c r="E4" s="248"/>
      <c r="F4" s="249"/>
      <c r="G4" s="249"/>
      <c r="H4" s="248"/>
      <c r="I4" s="248"/>
      <c r="J4" s="248"/>
      <c r="K4" s="240"/>
      <c r="N4" s="252" t="s">
        <v>206</v>
      </c>
      <c r="O4" s="250"/>
      <c r="P4" s="250"/>
      <c r="Q4" s="250"/>
      <c r="R4" s="250"/>
      <c r="S4" s="250"/>
      <c r="T4" s="250"/>
      <c r="U4" s="250"/>
    </row>
    <row r="5" spans="1:32" ht="15.5">
      <c r="B5" s="247" t="s">
        <v>119</v>
      </c>
      <c r="C5" s="468"/>
      <c r="D5" s="468"/>
      <c r="E5" s="248"/>
      <c r="F5" s="249"/>
      <c r="G5" s="249"/>
      <c r="H5" s="248"/>
      <c r="I5" s="248"/>
      <c r="J5" s="248"/>
      <c r="K5" s="240"/>
      <c r="N5" s="253" t="s">
        <v>148</v>
      </c>
      <c r="O5" s="250"/>
      <c r="P5" s="250"/>
      <c r="Q5" s="250"/>
      <c r="R5" s="250"/>
      <c r="S5" s="250"/>
      <c r="T5" s="250"/>
      <c r="U5" s="250"/>
    </row>
    <row r="6" spans="1:32" ht="15" customHeight="1">
      <c r="B6" s="254" t="s">
        <v>120</v>
      </c>
      <c r="C6" s="469"/>
      <c r="D6" s="469"/>
      <c r="E6" s="469"/>
      <c r="F6" s="469"/>
      <c r="G6" s="255"/>
      <c r="H6" s="256"/>
      <c r="I6" s="256"/>
      <c r="J6" s="256"/>
      <c r="K6" s="240"/>
      <c r="N6" s="250"/>
      <c r="O6" s="250"/>
      <c r="P6" s="250"/>
      <c r="Q6" s="250"/>
      <c r="R6" s="250"/>
      <c r="S6" s="250"/>
      <c r="T6" s="250"/>
      <c r="U6" s="487" t="e">
        <f>CONCATENATE(SUBSTITUTE(VLOOKUP(N5,SIS!A2:F8,2,),"[variante]",VLOOKUP(N21,REV!A2:C16,2,)),SIS!D3)</f>
        <v>#N/A</v>
      </c>
    </row>
    <row r="7" spans="1:32">
      <c r="B7" s="257"/>
      <c r="C7" s="255"/>
      <c r="D7" s="255"/>
      <c r="E7" s="255"/>
      <c r="F7" s="255"/>
      <c r="G7" s="255"/>
      <c r="H7" s="256"/>
      <c r="I7" s="256"/>
      <c r="J7" s="256"/>
      <c r="K7" s="240"/>
      <c r="N7" s="250"/>
      <c r="O7" s="250"/>
      <c r="P7" s="250"/>
      <c r="Q7" s="250"/>
      <c r="R7" s="250"/>
      <c r="S7" s="250"/>
      <c r="T7" s="250"/>
      <c r="U7" s="487"/>
    </row>
    <row r="8" spans="1:32">
      <c r="B8" s="258"/>
      <c r="C8" s="256"/>
      <c r="D8" s="256"/>
      <c r="E8" s="256"/>
      <c r="F8" s="259"/>
      <c r="G8" s="259"/>
      <c r="H8" s="256"/>
      <c r="I8" s="240"/>
      <c r="J8" s="240"/>
      <c r="K8" s="240"/>
      <c r="N8" s="250"/>
      <c r="O8" s="250"/>
      <c r="P8" s="250"/>
      <c r="Q8" s="250"/>
      <c r="R8" s="250"/>
      <c r="S8" s="250"/>
      <c r="T8" s="250"/>
      <c r="U8" s="487"/>
    </row>
    <row r="9" spans="1:32" ht="42" customHeight="1">
      <c r="B9" s="488" t="s">
        <v>917</v>
      </c>
      <c r="C9" s="489"/>
      <c r="D9" s="489"/>
      <c r="E9" s="489"/>
      <c r="F9" s="489"/>
      <c r="G9" s="489"/>
      <c r="H9" s="489"/>
      <c r="I9" s="489"/>
      <c r="J9" s="489"/>
      <c r="K9" s="489"/>
      <c r="N9" s="252" t="s">
        <v>207</v>
      </c>
      <c r="O9" s="250"/>
      <c r="P9" s="250"/>
      <c r="Q9" s="260" t="s">
        <v>208</v>
      </c>
      <c r="R9" s="250"/>
      <c r="S9" s="250"/>
      <c r="T9" s="250"/>
      <c r="U9" s="487"/>
      <c r="AB9" s="492" t="s">
        <v>869</v>
      </c>
      <c r="AC9" s="492"/>
      <c r="AD9" s="492"/>
      <c r="AF9" s="240" t="s">
        <v>865</v>
      </c>
    </row>
    <row r="10" spans="1:32" ht="15.5">
      <c r="B10" s="261"/>
      <c r="C10" s="261"/>
      <c r="D10" s="261"/>
      <c r="E10" s="261"/>
      <c r="F10" s="261"/>
      <c r="G10" s="261"/>
      <c r="H10" s="261"/>
      <c r="I10" s="261"/>
      <c r="J10" s="261"/>
      <c r="K10" s="261"/>
      <c r="N10" s="252"/>
      <c r="O10" s="250"/>
      <c r="P10" s="250"/>
      <c r="Q10" s="260"/>
      <c r="R10" s="250"/>
      <c r="S10" s="250"/>
      <c r="T10" s="250"/>
      <c r="U10" s="263"/>
      <c r="AB10" s="264"/>
      <c r="AC10" s="402" t="s">
        <v>867</v>
      </c>
      <c r="AD10" s="402" t="s">
        <v>868</v>
      </c>
      <c r="AF10" s="240" t="str">
        <f>_xlfn.CONCAT(AC12,"",AC11,)</f>
        <v>webertherm espiga H380</v>
      </c>
    </row>
    <row r="11" spans="1:32" ht="15.5">
      <c r="B11" s="266"/>
      <c r="C11" s="261"/>
      <c r="D11" s="261"/>
      <c r="E11" s="261"/>
      <c r="F11" s="261"/>
      <c r="G11" s="261"/>
      <c r="H11" s="261"/>
      <c r="I11" s="261"/>
      <c r="J11" s="261"/>
      <c r="K11" s="261"/>
      <c r="N11" s="252"/>
      <c r="O11" s="250"/>
      <c r="P11" s="250"/>
      <c r="Q11" s="260"/>
      <c r="R11" s="250"/>
      <c r="S11" s="250"/>
      <c r="T11" s="250"/>
      <c r="U11" s="263"/>
      <c r="AB11" s="267" t="s">
        <v>862</v>
      </c>
      <c r="AC11" s="280">
        <v>80</v>
      </c>
      <c r="AD11" s="280">
        <v>80</v>
      </c>
    </row>
    <row r="12" spans="1:32" ht="25.5" customHeight="1">
      <c r="B12" s="268"/>
      <c r="C12" s="255"/>
      <c r="D12" s="255"/>
      <c r="E12" s="255"/>
      <c r="F12" s="259"/>
      <c r="G12" s="259"/>
      <c r="H12" s="256"/>
      <c r="I12" s="240"/>
      <c r="J12" s="240"/>
      <c r="K12" s="240"/>
      <c r="N12" s="252"/>
      <c r="O12" s="250"/>
      <c r="P12" s="250"/>
      <c r="Q12" s="260"/>
      <c r="R12" s="250"/>
      <c r="S12" s="250"/>
      <c r="T12" s="250"/>
      <c r="U12" s="263"/>
      <c r="AB12" s="267" t="s">
        <v>863</v>
      </c>
      <c r="AC12" s="280" t="s">
        <v>237</v>
      </c>
      <c r="AD12" s="280" t="s">
        <v>237</v>
      </c>
      <c r="AF12" s="240" t="s">
        <v>916</v>
      </c>
    </row>
    <row r="13" spans="1:32" s="271" customFormat="1" ht="25.5" customHeight="1">
      <c r="A13" s="258"/>
      <c r="B13" s="269" t="s">
        <v>340</v>
      </c>
      <c r="C13" s="258"/>
      <c r="D13" s="258"/>
      <c r="E13" s="270"/>
      <c r="F13" s="270"/>
      <c r="G13" s="270"/>
      <c r="H13" s="256"/>
      <c r="I13" s="240"/>
      <c r="J13" s="240"/>
      <c r="K13" s="240"/>
      <c r="L13" s="258"/>
      <c r="N13" s="272" t="str">
        <f>VLOOKUP(C17,'Lista - memorias'!$B$1:$D$241,2,)</f>
        <v>webertherm placa TF PROFI</v>
      </c>
      <c r="O13" s="273" t="e">
        <f>IF(OR(N13="webertherm aislone",N21="webertherm clima"),"aislone",IF(N13="webertherm placa clima 34","lana",IF(N13="webertherm placa DUO","lana",IF(N13="webertherm placa MD","lana","sintética"))))</f>
        <v>#N/A</v>
      </c>
      <c r="P13" s="250"/>
      <c r="Q13" s="274">
        <f>VLOOKUP(C17,'Lista - memorias'!$B$1:$D$241,3,)</f>
        <v>120</v>
      </c>
      <c r="R13" s="250"/>
      <c r="S13" s="250"/>
      <c r="T13" s="250"/>
      <c r="U13" s="487" t="str">
        <f>SUBSTITUTE(VLOOKUP(N13,AIS!$A$2:$C$11,3,),"en el espesor establecido por la dirección facultativa",CONCATENATE("de ",Q13," mm de espesor"))</f>
        <v xml:space="preserve">suministro de las placas aislantes rígidas de lana de roca monodensidad, webertherm PLACA TF PROFI, con código de designación según la norma MW-EN 13162: T5 - DS(TH) - CS(10)30 - TR10 - WS - WL(P) - MU1, Euroclase A1 de reacción al fuego y conductividad térmica 0,035 W/m·K, de 120 mm de espesor. Las placas deben ser colocadas en posición horizontal en filas sucesivas, de abajo a arriba, a rompe-juntas en relación con la hilera anterior, </v>
      </c>
      <c r="AB13" s="267" t="s">
        <v>871</v>
      </c>
      <c r="AC13" s="403" t="str">
        <f>VLOOKUP(AF10,'calculo espigas'!C34:F58,3,)</f>
        <v>webertherm espiga H3 115</v>
      </c>
      <c r="AD13" s="403" t="str">
        <f>VLOOKUP(AF13,'calculo espigas'!G34:I58,3,)</f>
        <v>webertherm espiga H3 135</v>
      </c>
      <c r="AF13" s="240" t="str">
        <f>_xlfn.CONCAT(AD12,"",AD11,)</f>
        <v>webertherm espiga H380</v>
      </c>
    </row>
    <row r="14" spans="1:32" ht="16.5" customHeight="1">
      <c r="B14" s="276"/>
      <c r="C14" s="240"/>
      <c r="D14" s="240"/>
      <c r="E14" s="242"/>
      <c r="F14" s="243"/>
      <c r="G14" s="243"/>
      <c r="H14" s="240"/>
      <c r="I14" s="240"/>
      <c r="J14" s="240"/>
      <c r="K14" s="240"/>
      <c r="N14" s="252" t="s">
        <v>210</v>
      </c>
      <c r="O14" s="250"/>
      <c r="P14" s="250"/>
      <c r="Q14" s="250"/>
      <c r="R14" s="250"/>
      <c r="S14" s="250"/>
      <c r="T14" s="250"/>
      <c r="U14" s="487"/>
      <c r="W14" s="277" t="s">
        <v>293</v>
      </c>
      <c r="X14" s="278" t="s">
        <v>361</v>
      </c>
      <c r="Y14" s="404"/>
      <c r="Z14" s="404"/>
      <c r="AA14" s="404"/>
      <c r="AB14" s="404"/>
      <c r="AC14" s="404"/>
      <c r="AD14" s="404"/>
    </row>
    <row r="15" spans="1:32" s="284" customFormat="1" ht="42.75" customHeight="1">
      <c r="A15" s="280"/>
      <c r="B15" s="281" t="s">
        <v>2</v>
      </c>
      <c r="C15" s="470" t="s">
        <v>1</v>
      </c>
      <c r="D15" s="471"/>
      <c r="E15" s="281" t="s">
        <v>404</v>
      </c>
      <c r="F15" s="281" t="s">
        <v>299</v>
      </c>
      <c r="G15" s="281" t="s">
        <v>293</v>
      </c>
      <c r="H15" s="281" t="s">
        <v>161</v>
      </c>
      <c r="I15" s="282" t="s">
        <v>301</v>
      </c>
      <c r="J15" s="283" t="s">
        <v>364</v>
      </c>
      <c r="K15" s="281" t="s">
        <v>165</v>
      </c>
      <c r="L15" s="280"/>
      <c r="N15" s="285" t="str">
        <f>VLOOKUP(C16,'Lista - memorias'!$B$1:$D$241,2,)</f>
        <v>webertherm baseGEL</v>
      </c>
      <c r="O15" s="250"/>
      <c r="P15" s="250"/>
      <c r="Q15" s="250"/>
      <c r="R15" s="250"/>
      <c r="S15" s="250"/>
      <c r="T15" s="250"/>
      <c r="U15" s="487" t="str">
        <f>VLOOKUP(N15,ADH!$A$3:$B$6,2,)</f>
        <v xml:space="preserve">y serán adheridas mediante el mortero monocomponente para la adhesión y regularización de paneles de aislamiento térmico, webertherm BASEGEL, compuesto a base de cemento gris, cargas minerales, resinas redispersables en polvo, fibra de vidrio de alta dispersión y aditivos especiales; y con las siguientes características técnicas: adherencia sobre ladrillo cerámico ≥ 0,3 MPa, adherencia sobre webertherm AISLONE y sobre webertherm PLACA EPS ≥ 0,08 MPa (CFS), absorción agua por capilaridad ≤ 0,2 kg/m² ·min0,5 (Clase W2), μ ≤ 10, resistencia a flexión ≥ 2 MPa, resistencia a compresión ≥ 6,0 MPa (CSIV), reacción al fuego Euroclase A1 y conductividad térmica 0,44 W/m·K. La aplicación del mortero como adhesivo se realizará directamente en el reverso de la placa mediante cordón perimetral y pegotes centrales asegurando una superficie de adhesión mínima del 40%, o bien mediante doble encolado con llana dentada de 10 x 10 mm, en caso de aplicación posterior sobre el soporte plano (irregularidades inferiores a 10 mm bajo un regle de 2 m), con un espesor total de 1 cm. </v>
      </c>
      <c r="W15" s="277" t="s">
        <v>366</v>
      </c>
      <c r="X15" s="286" t="s">
        <v>362</v>
      </c>
      <c r="Y15" s="405"/>
      <c r="Z15" s="405"/>
      <c r="AA15" s="405"/>
      <c r="AB15" s="405"/>
      <c r="AC15" s="405"/>
      <c r="AD15" s="405"/>
    </row>
    <row r="16" spans="1:32">
      <c r="B16" s="287" t="s">
        <v>3</v>
      </c>
      <c r="C16" s="465" t="s">
        <v>513</v>
      </c>
      <c r="D16" s="465"/>
      <c r="E16" s="227" t="str">
        <f>VLOOKUP(C16,'Listas-2'!$B$12:$K$468,6,)</f>
        <v>kg</v>
      </c>
      <c r="F16" s="228">
        <f>VLOOKUP(C16,'Listas-2'!$B$12:$K$468,3,)</f>
        <v>5</v>
      </c>
      <c r="G16" s="239">
        <f>IF($G$15="PVP saco palet (€/saco)",VLOOKUP(C16,'Listas-2'!$B$12:$K$468,10,),VLOOKUP(C16,'Listas-2'!$B$12:$K$468,9,))</f>
        <v>27.98</v>
      </c>
      <c r="H16" s="239">
        <f>G16/VLOOKUP(C16,'Listas-2'!$B$12:$K$468,5,)</f>
        <v>1.1192</v>
      </c>
      <c r="I16" s="289"/>
      <c r="J16" s="239">
        <f>(H16-(I16*H16))</f>
        <v>1.1192</v>
      </c>
      <c r="K16" s="290">
        <f t="shared" ref="K16:K22" si="0">F16*J16</f>
        <v>5.5960000000000001</v>
      </c>
      <c r="N16" s="252" t="s">
        <v>211</v>
      </c>
      <c r="O16" s="250"/>
      <c r="P16" s="250"/>
      <c r="Q16" s="250"/>
      <c r="R16" s="250"/>
      <c r="S16" s="250"/>
      <c r="T16" s="250"/>
      <c r="U16" s="487"/>
    </row>
    <row r="17" spans="1:74" ht="15.75" customHeight="1">
      <c r="B17" s="287" t="s">
        <v>6</v>
      </c>
      <c r="C17" s="465" t="s">
        <v>601</v>
      </c>
      <c r="D17" s="465"/>
      <c r="E17" s="227" t="str">
        <f>VLOOKUP(C17,'Listas-2'!$B$12:$K$468,6,)</f>
        <v>m²</v>
      </c>
      <c r="F17" s="228">
        <f>VLOOKUP(C17,'Listas-2'!$B$12:$K$468,3,)</f>
        <v>1</v>
      </c>
      <c r="G17" s="239">
        <f>IF($G$15="PVP saco palet (€/saco)",VLOOKUP(C17,'Listas-2'!$B$12:$K$468,10,),VLOOKUP(C17,'Listas-2'!$B$12:$K$468,9,))</f>
        <v>114.04</v>
      </c>
      <c r="H17" s="239">
        <f>VLOOKUP(C17,'Listas-2'!$B$12:$K$468,2,)</f>
        <v>65</v>
      </c>
      <c r="I17" s="289"/>
      <c r="J17" s="239">
        <f>(H17-(I17*H17))</f>
        <v>65</v>
      </c>
      <c r="K17" s="290">
        <f t="shared" si="0"/>
        <v>65</v>
      </c>
      <c r="N17" s="291" t="str">
        <f>VLOOKUP(C18,'Lista - memorias'!$B$1:$C$241,2,)</f>
        <v>webertherm espiga SLD-5</v>
      </c>
      <c r="O17" s="273" t="str">
        <f>MID(N17,19,8)</f>
        <v>SLD-5</v>
      </c>
      <c r="P17" s="250"/>
      <c r="Q17" s="250"/>
      <c r="R17" s="250"/>
      <c r="S17" s="273" t="str">
        <f>CONCATENATE("webertherm espiga ",O17,"-","placa")</f>
        <v>webertherm espiga SLD-5-placa</v>
      </c>
      <c r="T17" s="250"/>
      <c r="U17" s="487" t="e">
        <f>CONCATENATE(VLOOKUP(S17,FIJ_1!$A$2:$D$10,4,),VLOOKUP(O13,FIJ_1!$C$14:$D$15,2,))</f>
        <v>#N/A</v>
      </c>
    </row>
    <row r="18" spans="1:74">
      <c r="B18" s="287" t="s">
        <v>7</v>
      </c>
      <c r="C18" s="472" t="s">
        <v>38</v>
      </c>
      <c r="D18" s="472"/>
      <c r="E18" s="227" t="str">
        <f>VLOOKUP(C18,'Listas-2'!$B$12:$K$468,6,)</f>
        <v>ud</v>
      </c>
      <c r="F18" s="228">
        <f>IF(MID(C17,18,2)="TF",6.67,IF(MID(C17,18,5)="clima",5.5,VLOOKUP(C18,'Listas-2'!$B$12:$K$468,3,)))</f>
        <v>6.67</v>
      </c>
      <c r="G18" s="239">
        <f>IF($G$15="PVP saco palet (€/saco)",VLOOKUP(C18,'Listas-2'!$B$12:$K$468,10,),VLOOKUP(C18,'Listas-2'!$B$12:$K$468,9,))</f>
        <v>86.87</v>
      </c>
      <c r="H18" s="239">
        <f>G18/VLOOKUP(C18,'Listas-2'!$B$12:$K$468,5,)</f>
        <v>0.86870000000000003</v>
      </c>
      <c r="I18" s="289"/>
      <c r="J18" s="239">
        <f>(H18-(I18*H18))</f>
        <v>0.86870000000000003</v>
      </c>
      <c r="K18" s="290">
        <f t="shared" si="0"/>
        <v>5.7942290000000005</v>
      </c>
      <c r="N18" s="252" t="s">
        <v>213</v>
      </c>
      <c r="O18" s="250"/>
      <c r="P18" s="250"/>
      <c r="Q18" s="250"/>
      <c r="R18" s="250"/>
      <c r="S18" s="273"/>
      <c r="T18" s="250"/>
      <c r="U18" s="487"/>
    </row>
    <row r="19" spans="1:74" ht="15.75" customHeight="1">
      <c r="B19" s="473" t="s">
        <v>9</v>
      </c>
      <c r="C19" s="465" t="s">
        <v>513</v>
      </c>
      <c r="D19" s="465"/>
      <c r="E19" s="227" t="str">
        <f>VLOOKUP(C19,'Listas-2'!$B$12:$K$468,6,)</f>
        <v>kg</v>
      </c>
      <c r="F19" s="228">
        <f>VLOOKUP(C19,'Listas-2'!$B$12:$K$468,4,)</f>
        <v>5</v>
      </c>
      <c r="G19" s="239">
        <f>IF($G$15="PVP saco palet (€/saco)",VLOOKUP(C19,'Listas-2'!$B$12:$K$468,10,),VLOOKUP(C19,'Listas-2'!$B$12:$K$468,9,))</f>
        <v>27.98</v>
      </c>
      <c r="H19" s="239">
        <f>G19/VLOOKUP(C19,'Listas-2'!$B$12:$K$468,5,)</f>
        <v>1.1192</v>
      </c>
      <c r="I19" s="289"/>
      <c r="J19" s="239">
        <f>(H19-(I19*H19))</f>
        <v>1.1192</v>
      </c>
      <c r="K19" s="290">
        <f t="shared" si="0"/>
        <v>5.5960000000000001</v>
      </c>
      <c r="N19" s="291" t="str">
        <f>VLOOKUP(C19,'Lista - memorias'!$B$1:$C$241,2,)</f>
        <v>webertherm baseGEL</v>
      </c>
      <c r="O19" s="273"/>
      <c r="P19" s="250"/>
      <c r="Q19" s="250"/>
      <c r="R19" s="250"/>
      <c r="S19" s="273"/>
      <c r="T19" s="250"/>
      <c r="U19" s="487" t="str">
        <f>CONCATENATE(VLOOKUP(N19,REF!$A$2:$B$4,2,),HLOOKUP($C$20,REF!$B$5:$D$6,2,))</f>
        <v xml:space="preserve">Posteriormente se realizará el revestimiento de las placas aislantes con webertherm BASEGEL, aplicado en un espesor de 2-3 mm por mano, en dos manos y armado con malla de fibra de vidrio alcalino-resistente webertherm MALLA 160, con apertura del entramado 3,5 x 3,8 mm, 160 g/m², espesor 0,52 mm, valor nominal de resistencia a tracción en condiciones estándar de 2200 / 2200 y resistencia a elongación 3,8 / 3,8, embebida en la mitad del espesor; se aplicará una primera mano de mortero regularizador sobre la que se colocará, en fresco, la malla de refuerzo. Pasadas 24h y ya seca la primera mano, se aplicará una segunda mano de mortero regularizador cubriendo la malla en su totalidad y dejando una superficie lisa y apta para recibir el acabado. </v>
      </c>
    </row>
    <row r="20" spans="1:74">
      <c r="B20" s="473"/>
      <c r="C20" s="465" t="s">
        <v>643</v>
      </c>
      <c r="D20" s="465"/>
      <c r="E20" s="227" t="str">
        <f>VLOOKUP(C20,'Listas-2'!$B$12:$K$468,6,)</f>
        <v>m²</v>
      </c>
      <c r="F20" s="228">
        <f>VLOOKUP(C20,'Listas-2'!$B$12:$K$468,3,)</f>
        <v>1.1000000000000001</v>
      </c>
      <c r="G20" s="239">
        <f>IF($G$15="PVP saco palet (€/saco)",VLOOKUP(C20,'Listas-2'!$B$12:$K$468,10,),VLOOKUP(C20,'Listas-2'!$B$12:$K$468,9,))</f>
        <v>133.94</v>
      </c>
      <c r="H20" s="239">
        <f>G20/VLOOKUP(C20,'Listas-2'!$B$12:$K$468,5,)</f>
        <v>2.4352727272727273</v>
      </c>
      <c r="I20" s="289"/>
      <c r="J20" s="239">
        <f>(H20-(I20*H20))</f>
        <v>2.4352727272727273</v>
      </c>
      <c r="K20" s="290">
        <f t="shared" si="0"/>
        <v>2.6788000000000003</v>
      </c>
      <c r="N20" s="252" t="s">
        <v>214</v>
      </c>
      <c r="O20" s="250"/>
      <c r="P20" s="250"/>
      <c r="Q20" s="250"/>
      <c r="R20" s="250"/>
      <c r="S20" s="273"/>
      <c r="T20" s="250"/>
      <c r="U20" s="487"/>
    </row>
    <row r="21" spans="1:74" ht="15.75" customHeight="1">
      <c r="B21" s="473" t="s">
        <v>11</v>
      </c>
      <c r="C21" s="465" t="s">
        <v>1007</v>
      </c>
      <c r="D21" s="474"/>
      <c r="E21" s="227" t="str">
        <f>IF(C21="Imprimación no necesaria","-",VLOOKUP(C21,'Listas-2'!$B$12:$K$468,6,))</f>
        <v>l</v>
      </c>
      <c r="F21" s="228">
        <f>IF(C21="Imprimación no necesaria","-",VLOOKUP(C21,'Listas-2'!$B$12:$K$468,3,))</f>
        <v>0.17</v>
      </c>
      <c r="G21" s="239">
        <f>IF(C21="Imprimación no necesaria","-",IF($G$15="PVP saco palet (€/saco)",VLOOKUP(C21,'Listas-2'!$B$12:$K$468,10,),VLOOKUP(C21,'Listas-2'!$B$12:$K$468,9,)))</f>
        <v>201.85</v>
      </c>
      <c r="H21" s="239">
        <f>IF(C21="Imprimación no necesaria","-",G21/VLOOKUP(C21,'Listas-2'!$B$12:$K$468,5,))</f>
        <v>13.456666666666667</v>
      </c>
      <c r="I21" s="289"/>
      <c r="J21" s="239">
        <f>IF(C21="Imprimación no necesaria","-",(H21-(I21*H21)))</f>
        <v>13.456666666666667</v>
      </c>
      <c r="K21" s="290">
        <f>IF(C21="Imprimación no necesaria",0,F21*J21)</f>
        <v>2.2876333333333334</v>
      </c>
      <c r="N21" s="291" t="e">
        <f>VLOOKUP(C22,'Lista - memorias'!$B$1:$C$241,2,)</f>
        <v>#N/A</v>
      </c>
      <c r="O21" s="273" t="e">
        <f>IF(OR(N21="webertherm clima",N21="ceramic optima",N21="ceramic plus"),N21,"capa fina")</f>
        <v>#N/A</v>
      </c>
      <c r="P21" s="250"/>
      <c r="Q21" s="273"/>
      <c r="R21" s="250"/>
      <c r="S21" s="273" t="e">
        <f>VLOOKUP(N21,REV!$A$2:$B$16,2,)</f>
        <v>#N/A</v>
      </c>
      <c r="T21" s="250"/>
      <c r="U21" s="487" t="e">
        <f>IF(OR(N21="webertene premium M",N21="webertene extraclean active"),CONCATENATE(VLOOKUP(N21,REV!$A$2:$C$14,3,),VLOOKUP("weberprim silicato",REV!$A$2:$C$19,3,)),IF(AND(VLOOKUP(N21,REV!$A$2:$C$19,2,)="acabado orgánico",N19="webertherm base"),CONCATENATE(VLOOKUP(N21,REV!$A$3:$C$19,3,),VLOOKUP("webertene primer",REV!$A$3:$C$19,3,)),VLOOKUP(N21,REV!$A$2:$C$19,3,)))</f>
        <v>#N/A</v>
      </c>
    </row>
    <row r="22" spans="1:74">
      <c r="B22" s="473"/>
      <c r="C22" s="465" t="s">
        <v>1003</v>
      </c>
      <c r="D22" s="465"/>
      <c r="E22" s="227" t="str">
        <f>VLOOKUP(C22,'Listas-2'!$B$12:$K$468,6,)</f>
        <v>kg</v>
      </c>
      <c r="F22" s="228">
        <f>VLOOKUP(C22,'Listas-2'!$B$12:$K$468,3,)</f>
        <v>2.7</v>
      </c>
      <c r="G22" s="239">
        <f>IF($G$15="PVP saco palet (€/saco)",VLOOKUP(C22,'Listas-2'!$B$12:$K$468,10,),VLOOKUP(C22,'Listas-2'!$B$12:$K$468,9,))</f>
        <v>139.75</v>
      </c>
      <c r="H22" s="239">
        <f>G22/VLOOKUP(C22,'Listas-2'!$B$12:$K$468,5,)</f>
        <v>5.59</v>
      </c>
      <c r="I22" s="289"/>
      <c r="J22" s="239">
        <f>(H22-(I22*H22))</f>
        <v>5.59</v>
      </c>
      <c r="K22" s="290">
        <f t="shared" si="0"/>
        <v>15.093</v>
      </c>
      <c r="N22" s="250"/>
      <c r="O22" s="250"/>
      <c r="P22" s="250"/>
      <c r="Q22" s="250"/>
      <c r="R22" s="250"/>
      <c r="S22" s="250"/>
      <c r="T22" s="250"/>
      <c r="U22" s="487"/>
    </row>
    <row r="23" spans="1:74" ht="17.5" customHeight="1">
      <c r="B23" s="292"/>
      <c r="C23" s="270"/>
      <c r="D23" s="270"/>
      <c r="E23" s="270"/>
      <c r="F23" s="293"/>
      <c r="G23" s="294"/>
      <c r="H23" s="293"/>
      <c r="I23" s="295"/>
      <c r="J23" s="296"/>
      <c r="K23" s="406"/>
      <c r="N23" s="250" t="e">
        <f>VLOOKUP(C21,'Lista - memorias'!$B$1:$C$229,2,)</f>
        <v>#N/A</v>
      </c>
      <c r="O23" s="250"/>
      <c r="P23" s="250"/>
      <c r="Q23" s="250"/>
      <c r="R23" s="250"/>
      <c r="S23" s="250"/>
      <c r="T23" s="250"/>
      <c r="U23" s="263" t="e">
        <f>IF(N23="Imprimación no necesaria","",VLOOKUP(N23,REV!$A$17:$C$19,3,))</f>
        <v>#N/A</v>
      </c>
    </row>
    <row r="24" spans="1:74" ht="28.15" customHeight="1">
      <c r="B24" s="269" t="s">
        <v>121</v>
      </c>
      <c r="C24" s="485"/>
      <c r="D24" s="485"/>
      <c r="E24" s="242"/>
      <c r="F24" s="243"/>
      <c r="G24" s="243"/>
      <c r="H24" s="242"/>
      <c r="I24" s="298"/>
      <c r="J24" s="299"/>
      <c r="K24" s="407"/>
      <c r="N24" s="245"/>
      <c r="O24" s="245"/>
      <c r="P24" s="245"/>
      <c r="Q24" s="245"/>
      <c r="R24" s="245"/>
      <c r="S24" s="245"/>
      <c r="T24" s="245"/>
      <c r="U24" s="245"/>
      <c r="X24" s="301"/>
      <c r="Y24" s="301"/>
      <c r="Z24" s="301"/>
      <c r="AA24" s="301"/>
    </row>
    <row r="25" spans="1:74">
      <c r="B25" s="287" t="s">
        <v>365</v>
      </c>
      <c r="C25" s="465" t="s">
        <v>98</v>
      </c>
      <c r="D25" s="465"/>
      <c r="E25" s="235" t="str">
        <f>IF(C25="-","-",VLOOKUP(C25,'Listas-2'!$B$12:$K$468,6,))</f>
        <v>-</v>
      </c>
      <c r="F25" s="288" t="str">
        <f>IF(C25="-","-",F18)</f>
        <v>-</v>
      </c>
      <c r="G25" s="302" t="str">
        <f>IF(C25="-","-",IF($G$15="PVP saco palet (€/saco)",VLOOKUP(C25,'Listas-2'!$B$12:$K$468,10,),VLOOKUP(C25,'Listas-2'!$B$12:$K$468,9,)))</f>
        <v>-</v>
      </c>
      <c r="H25" s="302" t="str">
        <f>IF(C25="-","-",G25/VLOOKUP(C25,'Listas-2'!$B$12:$K$468,5,))</f>
        <v>-</v>
      </c>
      <c r="I25" s="289"/>
      <c r="J25" s="302" t="str">
        <f>IF(C25="-","-",(H25-(I25*H25)))</f>
        <v>-</v>
      </c>
      <c r="K25" s="290">
        <f>IF(C25="-",0,(J25*F25))</f>
        <v>0</v>
      </c>
      <c r="N25" s="303"/>
      <c r="O25" s="303"/>
      <c r="P25" s="303"/>
      <c r="Q25" s="303"/>
      <c r="R25" s="303"/>
      <c r="S25" s="303"/>
      <c r="T25" s="303"/>
      <c r="U25" s="303"/>
      <c r="X25" s="301"/>
      <c r="Y25" s="304"/>
      <c r="Z25" s="305"/>
      <c r="AA25" s="301"/>
    </row>
    <row r="26" spans="1:74">
      <c r="B26" s="287" t="s">
        <v>927</v>
      </c>
      <c r="C26" s="465"/>
      <c r="D26" s="465"/>
      <c r="E26" s="235"/>
      <c r="F26" s="288"/>
      <c r="G26" s="302"/>
      <c r="H26" s="302"/>
      <c r="I26" s="289"/>
      <c r="J26" s="302"/>
      <c r="K26" s="290">
        <f>J26</f>
        <v>0</v>
      </c>
      <c r="N26" s="303"/>
      <c r="O26" s="303"/>
      <c r="P26" s="303"/>
      <c r="Q26" s="303"/>
      <c r="R26" s="303"/>
      <c r="S26" s="303"/>
      <c r="T26" s="303"/>
      <c r="U26" s="303"/>
      <c r="X26" s="301"/>
      <c r="Y26" s="304"/>
      <c r="Z26" s="305"/>
      <c r="AA26" s="301"/>
    </row>
    <row r="27" spans="1:74">
      <c r="B27" s="287" t="s">
        <v>177</v>
      </c>
      <c r="C27" s="465" t="s">
        <v>98</v>
      </c>
      <c r="D27" s="465"/>
      <c r="E27" s="235" t="str">
        <f>IF(C27="-","-",VLOOKUP(C27,'Listas-2'!$B$12:$K$468,6,))</f>
        <v>-</v>
      </c>
      <c r="F27" s="288" t="str">
        <f>IF(C27="-","-",VLOOKUP(C27,'Listas-2'!$B$12:$K$468,3,))</f>
        <v>-</v>
      </c>
      <c r="G27" s="302" t="str">
        <f>IF(C27="-","-",IF($G$15="PVP saco palet (€/saco)",VLOOKUP(C27,'Listas-2'!$B$12:$K$468,10,),VLOOKUP(C27,'Listas-2'!$B$12:$K$468,9,)))</f>
        <v>-</v>
      </c>
      <c r="H27" s="302" t="str">
        <f>IF(C27="-","-",G27/VLOOKUP(C27,'Listas-2'!$B$12:$K$468,5,))</f>
        <v>-</v>
      </c>
      <c r="I27" s="289"/>
      <c r="J27" s="302" t="str">
        <f>IF(C27="-","-",(H27-(I27*H27)))</f>
        <v>-</v>
      </c>
      <c r="K27" s="290">
        <f>IF(C27="-",0,(J27*F27))</f>
        <v>0</v>
      </c>
      <c r="N27" s="303"/>
      <c r="O27" s="303"/>
      <c r="P27" s="303"/>
      <c r="Q27" s="303"/>
      <c r="R27" s="303"/>
      <c r="S27" s="303"/>
      <c r="T27" s="303"/>
      <c r="U27" s="303"/>
      <c r="X27" s="301"/>
      <c r="Y27" s="301"/>
      <c r="Z27" s="301"/>
      <c r="AA27" s="301"/>
    </row>
    <row r="28" spans="1:74" s="271" customFormat="1">
      <c r="A28" s="258"/>
      <c r="B28" s="306" t="s">
        <v>314</v>
      </c>
      <c r="C28" s="481" t="s">
        <v>98</v>
      </c>
      <c r="D28" s="482"/>
      <c r="E28" s="235" t="str">
        <f>IF(C28="-","-",VLOOKUP(C28,'Listas-2'!$B$12:$K$468,6,))</f>
        <v>-</v>
      </c>
      <c r="F28" s="288" t="str">
        <f>IF(C28="-","-",VLOOKUP(C28,'Listas-2'!$B$12:$K$468,3,))</f>
        <v>-</v>
      </c>
      <c r="G28" s="302" t="str">
        <f>IF(C28="-","-",IF($G$15="PVP saco palet (€/saco)",VLOOKUP(C28,'Listas-2'!$B$12:$K$468,10,),VLOOKUP(C28,'Listas-2'!$B$12:$K$468,9,)))</f>
        <v>-</v>
      </c>
      <c r="H28" s="302" t="str">
        <f>IF(C28="-","-",G28/VLOOKUP(C28,'Listas-2'!$B$12:$K$468,5,))</f>
        <v>-</v>
      </c>
      <c r="I28" s="289"/>
      <c r="J28" s="302" t="str">
        <f>IF(C28="-","-",(H28-(I28*H28)))</f>
        <v>-</v>
      </c>
      <c r="K28" s="290">
        <f>IF(C28="-",0,(J28*F28))</f>
        <v>0</v>
      </c>
      <c r="L28" s="258"/>
      <c r="N28" s="303"/>
      <c r="O28" s="303"/>
      <c r="P28" s="303"/>
      <c r="Q28" s="303"/>
      <c r="R28" s="303"/>
      <c r="S28" s="303"/>
      <c r="T28" s="303"/>
      <c r="U28" s="303"/>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301"/>
      <c r="BS28" s="301"/>
      <c r="BT28" s="301"/>
      <c r="BU28" s="301"/>
      <c r="BV28" s="301"/>
    </row>
    <row r="29" spans="1:74" ht="14.5" thickBot="1">
      <c r="B29" s="240"/>
      <c r="C29" s="240"/>
      <c r="D29" s="240"/>
      <c r="E29" s="242"/>
      <c r="F29" s="243"/>
      <c r="G29" s="243"/>
      <c r="H29" s="240"/>
      <c r="I29" s="240"/>
      <c r="J29" s="240"/>
      <c r="K29" s="408"/>
      <c r="N29" s="303"/>
      <c r="O29" s="303"/>
      <c r="P29" s="303"/>
      <c r="Q29" s="303"/>
      <c r="R29" s="303"/>
      <c r="S29" s="303"/>
      <c r="T29" s="303"/>
      <c r="U29" s="308"/>
    </row>
    <row r="30" spans="1:74" s="312" customFormat="1" ht="18.649999999999999" customHeight="1" thickBot="1">
      <c r="A30" s="309"/>
      <c r="B30" s="309"/>
      <c r="C30" s="483"/>
      <c r="D30" s="483"/>
      <c r="E30" s="310"/>
      <c r="F30" s="475" t="s">
        <v>355</v>
      </c>
      <c r="G30" s="476"/>
      <c r="H30" s="476"/>
      <c r="I30" s="476"/>
      <c r="J30" s="477"/>
      <c r="K30" s="311">
        <f>SUM(K16:K28)</f>
        <v>102.04566233333334</v>
      </c>
      <c r="L30" s="309"/>
      <c r="U30" s="313"/>
    </row>
    <row r="31" spans="1:74" ht="6" customHeight="1">
      <c r="A31" s="315"/>
      <c r="B31" s="316"/>
      <c r="C31" s="316"/>
      <c r="D31" s="316"/>
      <c r="E31" s="316"/>
      <c r="F31" s="316"/>
      <c r="G31" s="316"/>
      <c r="H31" s="316"/>
      <c r="I31" s="316"/>
      <c r="J31" s="316"/>
      <c r="K31" s="316"/>
      <c r="N31" s="303"/>
      <c r="O31" s="303"/>
      <c r="P31" s="303"/>
      <c r="Q31" s="303"/>
      <c r="R31" s="303"/>
      <c r="S31" s="303"/>
      <c r="T31" s="303"/>
      <c r="U31" s="308"/>
    </row>
    <row r="32" spans="1:74" ht="6" customHeight="1">
      <c r="A32" s="315"/>
      <c r="B32" s="316"/>
      <c r="C32" s="316"/>
      <c r="D32" s="316"/>
      <c r="E32" s="316"/>
      <c r="F32" s="316"/>
      <c r="G32" s="316"/>
      <c r="H32" s="316"/>
      <c r="I32" s="316"/>
      <c r="J32" s="316"/>
      <c r="K32" s="316"/>
      <c r="N32" s="303"/>
      <c r="O32" s="303"/>
      <c r="P32" s="303"/>
      <c r="Q32" s="303"/>
      <c r="R32" s="303"/>
      <c r="S32" s="303"/>
      <c r="T32" s="303"/>
      <c r="U32" s="308"/>
    </row>
    <row r="33" spans="1:74" ht="14.5" customHeight="1">
      <c r="B33" s="240"/>
      <c r="C33" s="242"/>
      <c r="D33" s="242"/>
      <c r="E33" s="242"/>
      <c r="F33" s="318"/>
      <c r="G33" s="318"/>
      <c r="H33" s="318"/>
      <c r="I33" s="318"/>
      <c r="J33" s="318"/>
      <c r="K33" s="409"/>
      <c r="N33" s="303"/>
      <c r="O33" s="303"/>
      <c r="P33" s="303"/>
      <c r="Q33" s="303"/>
      <c r="R33" s="303"/>
      <c r="S33" s="303"/>
      <c r="T33" s="303"/>
      <c r="U33" s="308"/>
    </row>
    <row r="34" spans="1:74" ht="6" customHeight="1">
      <c r="A34" s="315"/>
      <c r="B34" s="320"/>
      <c r="C34" s="320"/>
      <c r="D34" s="320"/>
      <c r="E34" s="320"/>
      <c r="F34" s="320"/>
      <c r="G34" s="320"/>
      <c r="H34" s="320"/>
      <c r="I34" s="320"/>
      <c r="J34" s="320"/>
      <c r="K34" s="320"/>
      <c r="N34" s="303"/>
      <c r="O34" s="303"/>
      <c r="P34" s="303"/>
      <c r="Q34" s="303"/>
      <c r="R34" s="303"/>
      <c r="S34" s="303"/>
      <c r="T34" s="303"/>
      <c r="U34" s="308"/>
    </row>
    <row r="35" spans="1:74" ht="6" customHeight="1">
      <c r="A35" s="315"/>
      <c r="B35" s="316"/>
      <c r="C35" s="316"/>
      <c r="D35" s="316"/>
      <c r="E35" s="316"/>
      <c r="F35" s="316"/>
      <c r="G35" s="316"/>
      <c r="H35" s="316"/>
      <c r="I35" s="316"/>
      <c r="J35" s="316"/>
      <c r="K35" s="316"/>
      <c r="N35" s="303"/>
      <c r="O35" s="303"/>
      <c r="P35" s="303"/>
      <c r="Q35" s="303"/>
      <c r="R35" s="303"/>
      <c r="S35" s="303"/>
      <c r="T35" s="303"/>
      <c r="U35" s="308"/>
    </row>
    <row r="36" spans="1:74" ht="6" customHeight="1">
      <c r="A36" s="315"/>
      <c r="B36" s="316"/>
      <c r="C36" s="316"/>
      <c r="D36" s="316"/>
      <c r="E36" s="316"/>
      <c r="F36" s="316"/>
      <c r="G36" s="316"/>
      <c r="H36" s="316"/>
      <c r="I36" s="316"/>
      <c r="J36" s="316"/>
      <c r="K36" s="316"/>
      <c r="N36" s="250"/>
      <c r="O36" s="250"/>
      <c r="P36" s="250"/>
      <c r="Q36" s="250"/>
      <c r="R36" s="250"/>
      <c r="S36" s="250"/>
      <c r="T36" s="250"/>
      <c r="U36" s="322"/>
    </row>
    <row r="37" spans="1:74" ht="6" customHeight="1">
      <c r="A37" s="315"/>
      <c r="B37" s="316"/>
      <c r="C37" s="316"/>
      <c r="D37" s="316"/>
      <c r="E37" s="316"/>
      <c r="F37" s="316"/>
      <c r="G37" s="316"/>
      <c r="H37" s="316"/>
      <c r="I37" s="316"/>
      <c r="J37" s="316"/>
      <c r="K37" s="316"/>
      <c r="N37" s="250"/>
      <c r="O37" s="250"/>
      <c r="P37" s="250"/>
      <c r="Q37" s="250"/>
      <c r="R37" s="250"/>
      <c r="S37" s="250"/>
      <c r="T37" s="250"/>
      <c r="U37" s="322"/>
    </row>
    <row r="38" spans="1:74" ht="14.5" customHeight="1">
      <c r="B38" s="240"/>
      <c r="C38" s="242"/>
      <c r="D38" s="242"/>
      <c r="E38" s="242"/>
      <c r="F38" s="318"/>
      <c r="G38" s="318"/>
      <c r="H38" s="318"/>
      <c r="I38" s="318"/>
      <c r="J38" s="318"/>
      <c r="K38" s="409"/>
      <c r="N38" s="250"/>
      <c r="O38" s="250"/>
      <c r="P38" s="250"/>
      <c r="Q38" s="250"/>
      <c r="R38" s="250"/>
      <c r="S38" s="250"/>
      <c r="T38" s="250"/>
      <c r="U38" s="322" t="s">
        <v>369</v>
      </c>
    </row>
    <row r="39" spans="1:74" ht="14.5" customHeight="1">
      <c r="B39" s="269" t="s">
        <v>341</v>
      </c>
      <c r="C39" s="242"/>
      <c r="D39" s="242"/>
      <c r="E39" s="242"/>
      <c r="F39" s="318"/>
      <c r="G39" s="318"/>
      <c r="H39" s="316"/>
      <c r="I39" s="316"/>
      <c r="J39" s="316"/>
      <c r="K39" s="316"/>
      <c r="N39" s="250"/>
      <c r="O39" s="250"/>
      <c r="P39" s="250"/>
      <c r="Q39" s="250"/>
      <c r="R39" s="250"/>
      <c r="S39" s="250"/>
      <c r="T39" s="250"/>
      <c r="U39" s="322"/>
    </row>
    <row r="40" spans="1:74" ht="14.5" customHeight="1">
      <c r="B40" s="240"/>
      <c r="C40" s="242"/>
      <c r="D40" s="242"/>
      <c r="E40" s="242"/>
      <c r="F40" s="318"/>
      <c r="G40" s="318"/>
      <c r="H40" s="318"/>
      <c r="I40" s="318"/>
      <c r="J40" s="318"/>
      <c r="K40" s="409"/>
      <c r="N40" s="250"/>
      <c r="O40" s="250"/>
      <c r="P40" s="250"/>
      <c r="Q40" s="250"/>
      <c r="R40" s="250"/>
      <c r="S40" s="250"/>
      <c r="T40" s="250"/>
      <c r="U40" s="322"/>
    </row>
    <row r="41" spans="1:74" ht="14.5" customHeight="1">
      <c r="B41" s="287" t="s">
        <v>3</v>
      </c>
      <c r="C41" s="465" t="s">
        <v>98</v>
      </c>
      <c r="D41" s="465"/>
      <c r="E41" s="227" t="str">
        <f>IF(C41="-","-",VLOOKUP(C41,'Listas-2'!$B$12:$K$464,6,))</f>
        <v>-</v>
      </c>
      <c r="F41" s="228" t="str">
        <f>IF(C41="-","-",VLOOKUP(C41,'Listas-2'!$B$12:$K$468,3,))</f>
        <v>-</v>
      </c>
      <c r="G41" s="229" t="str">
        <f>IF(C41="-","-",IF($G$15="PVP saco palet (€/saco)",VLOOKUP(C41,'Listas-2'!$B$12:$K$468,10,),VLOOKUP(C41,'Listas-2'!$B$12:$K$468,9,)))</f>
        <v>-</v>
      </c>
      <c r="H41" s="229" t="str">
        <f>IF(C41="-","-",G41/VLOOKUP(C41,'Listas-2'!$B$12:$K$464,5,))</f>
        <v>-</v>
      </c>
      <c r="I41" s="289"/>
      <c r="J41" s="229" t="str">
        <f t="shared" ref="J41:J47" si="1">IF(C41="-","-",(H41-(I41*H41)))</f>
        <v>-</v>
      </c>
      <c r="K41" s="290">
        <f>IF(C41="-",0,(J41*F41))</f>
        <v>0</v>
      </c>
      <c r="N41" s="285" t="str">
        <f>VLOOKUP(C41,'Lista - memorias'!$B$1:$D$241,2,)</f>
        <v>-</v>
      </c>
      <c r="O41" s="250"/>
      <c r="P41" s="250"/>
      <c r="Q41" s="250"/>
      <c r="R41" s="250"/>
      <c r="S41" s="250"/>
      <c r="T41" s="250"/>
      <c r="U41" s="323" t="e">
        <f>SUBSTITUTE(VLOOKUP(N41,ADH!$A$3:$B$6,2,),"y serán adheridas","adheridas")</f>
        <v>#N/A</v>
      </c>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row>
    <row r="42" spans="1:74" ht="14.5" customHeight="1">
      <c r="B42" s="287" t="s">
        <v>6</v>
      </c>
      <c r="C42" s="465" t="s">
        <v>98</v>
      </c>
      <c r="D42" s="465"/>
      <c r="E42" s="227" t="str">
        <f>IF(C42="-","-",VLOOKUP(C42,'Listas-2'!$B$12:$K$464,6,))</f>
        <v>-</v>
      </c>
      <c r="F42" s="228" t="str">
        <f>IF(C42="-","-",VLOOKUP(C42,'Listas-2'!$B$12:$K$468,3,))</f>
        <v>-</v>
      </c>
      <c r="G42" s="229" t="str">
        <f>IF(C42="-","-",IF($G$15="PVP saco palet (€/saco)",VLOOKUP(C42,'Listas-2'!$B$12:$K$468,10,),VLOOKUP(C42,'Listas-2'!$B$12:$K$468,9,)))</f>
        <v>-</v>
      </c>
      <c r="H42" s="229" t="str">
        <f>IF(C42="-","-",VLOOKUP(C42,'Listas-2'!$B$12:$K$464,2,))</f>
        <v>-</v>
      </c>
      <c r="I42" s="289"/>
      <c r="J42" s="229" t="str">
        <f t="shared" si="1"/>
        <v>-</v>
      </c>
      <c r="K42" s="290">
        <f t="shared" ref="K42:K47" si="2">IF(C42="-",0,(J42*F42))</f>
        <v>0</v>
      </c>
      <c r="N42" s="325" t="str">
        <f>VLOOKUP(C42,'Lista - memorias'!$B$1:$D$241,2,)</f>
        <v>-</v>
      </c>
      <c r="O42" s="273" t="str">
        <f>IF(OR(N42="webertherm aislone",N49="webertherm clima"),"aislone",IF(N42="webertherm placa clima 34","lana",IF(N42="webertherm placa DUO","lana",IF(N42="webertherm placa MD","lana","sintética"))))</f>
        <v>sintética</v>
      </c>
      <c r="P42" s="250"/>
      <c r="Q42" s="274">
        <f>VLOOKUP(C42,'Lista - memorias'!$B$1:$D$241,3,)</f>
        <v>0</v>
      </c>
      <c r="R42" s="250"/>
      <c r="S42" s="250"/>
      <c r="T42" s="250"/>
      <c r="U42" s="323" t="e">
        <f>SUBSTITUTE(VLOOKUP(N42,AIS!$A$2:$D$11,4,),"en el espesor establecido por la dirección facultativa",CONCATENATE("de ",Q42," mm de espesor"))</f>
        <v>#N/A</v>
      </c>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row>
    <row r="43" spans="1:74" ht="14.5" customHeight="1">
      <c r="B43" s="287" t="s">
        <v>7</v>
      </c>
      <c r="C43" s="472" t="s">
        <v>98</v>
      </c>
      <c r="D43" s="472"/>
      <c r="E43" s="227" t="str">
        <f>IF(C43="-","-",VLOOKUP(C43,'Listas-2'!$B$12:$K$464,6,))</f>
        <v>-</v>
      </c>
      <c r="F43" s="228" t="str">
        <f>IF(C43="-","-",IF(MID(C42,18,2)="TF",6.67,IF(MID(C42,18,5)="clima",5.5,VLOOKUP(C43,'Listas-2'!$B$12:$K$468,3,))))</f>
        <v>-</v>
      </c>
      <c r="G43" s="229" t="str">
        <f>IF(C43="-","-",IF($G$15="PVP saco palet (€/saco)",VLOOKUP(C43,'Listas-2'!$B$12:$K$468,10,),VLOOKUP(C43,'Listas-2'!$B$12:$K$468,9,)))</f>
        <v>-</v>
      </c>
      <c r="H43" s="229" t="str">
        <f>IF(C43="-","-",G43/VLOOKUP(C43,'Listas-2'!$B$12:$F$266,5,))</f>
        <v>-</v>
      </c>
      <c r="I43" s="289"/>
      <c r="J43" s="229" t="str">
        <f t="shared" si="1"/>
        <v>-</v>
      </c>
      <c r="K43" s="290">
        <f t="shared" si="2"/>
        <v>0</v>
      </c>
      <c r="N43" s="291" t="str">
        <f>VLOOKUP(C43,'Lista - memorias'!$B$1:$C$241,2,)</f>
        <v>-</v>
      </c>
      <c r="O43" s="273" t="str">
        <f>MID(N43,19,8)</f>
        <v/>
      </c>
      <c r="P43" s="250"/>
      <c r="Q43" s="250"/>
      <c r="R43" s="250"/>
      <c r="S43" s="273" t="str">
        <f>CONCATENATE("webertherm espiga ",O43,"-","placa")</f>
        <v>webertherm espiga -placa</v>
      </c>
      <c r="T43" s="250"/>
      <c r="U43" s="323" t="str">
        <f>VLOOKUP(S43,FIJ_1!$A$2:$E$10,5,)</f>
        <v xml:space="preserve">Una vez seco el mortero de adhesión (transcurridas 24 horas), las placas serán ancladas mecánicamente con espigas de fijación webertherm ESPIGA (modelo a elegir por la dirección facultativa en función del tipo de soporte), sin perforar la impermeabilización. </v>
      </c>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row>
    <row r="44" spans="1:74" s="240" customFormat="1" ht="14.5" customHeight="1">
      <c r="B44" s="473" t="s">
        <v>9</v>
      </c>
      <c r="C44" s="465" t="s">
        <v>98</v>
      </c>
      <c r="D44" s="465"/>
      <c r="E44" s="227" t="str">
        <f>IF(C44="-","-",VLOOKUP(C44,'Listas-2'!$B$12:$K$464,6,))</f>
        <v>-</v>
      </c>
      <c r="F44" s="228" t="str">
        <f>IF(C44="-","-",VLOOKUP(C44,'Listas-2'!$B$12:$K$468,4,))</f>
        <v>-</v>
      </c>
      <c r="G44" s="229" t="str">
        <f>IF(C44="-","-",IF($G$15="PVP saco palet (€/saco)",VLOOKUP(C44,'Listas-2'!$B$12:$K$468,10,),VLOOKUP(C44,'Listas-2'!$B$12:$K$468,9,)))</f>
        <v>-</v>
      </c>
      <c r="H44" s="229" t="str">
        <f>IF(C44="-","-",G44/VLOOKUP(C44,'Listas-2'!$B$12:$F$266,5,))</f>
        <v>-</v>
      </c>
      <c r="I44" s="289"/>
      <c r="J44" s="229" t="str">
        <f t="shared" si="1"/>
        <v>-</v>
      </c>
      <c r="K44" s="290">
        <f t="shared" si="2"/>
        <v>0</v>
      </c>
      <c r="M44" s="326"/>
      <c r="N44" s="291" t="str">
        <f>VLOOKUP(C44,'Lista - memorias'!$B$1:$C$241,2,)</f>
        <v>-</v>
      </c>
      <c r="O44" s="250"/>
      <c r="P44" s="250"/>
      <c r="Q44" s="250"/>
      <c r="R44" s="250"/>
      <c r="S44" s="250"/>
      <c r="T44" s="250"/>
      <c r="U44" s="323" t="e">
        <f>CONCATENATE(VLOOKUP(N44,REF!$A$2:$B$4,2,),IF(C45="webertherm malla 160",VLOOKUP(O47,REF!$A$6:$C$9,2,),VLOOKUP(O47,REF!$A$6:$C$9,3,)))</f>
        <v>#N/A</v>
      </c>
      <c r="V44" s="245"/>
      <c r="W44" s="245"/>
      <c r="X44" s="245"/>
      <c r="Y44" s="245"/>
      <c r="Z44" s="245"/>
      <c r="AA44" s="245"/>
      <c r="AB44" s="245"/>
      <c r="AC44" s="245"/>
      <c r="AD44" s="245"/>
      <c r="AE44" s="245"/>
      <c r="AF44" s="245"/>
      <c r="AG44" s="245"/>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row>
    <row r="45" spans="1:74" s="240" customFormat="1" ht="14.5" customHeight="1">
      <c r="B45" s="473"/>
      <c r="C45" s="465" t="s">
        <v>98</v>
      </c>
      <c r="D45" s="465"/>
      <c r="E45" s="227" t="str">
        <f>IF(C45="-","-",VLOOKUP(C45,'Listas-2'!$B$12:$K$464,6,))</f>
        <v>-</v>
      </c>
      <c r="F45" s="228" t="str">
        <f>IF(C45="-","-",VLOOKUP(C45,'Listas-2'!$B$12:$K$468,3,))</f>
        <v>-</v>
      </c>
      <c r="G45" s="229" t="str">
        <f>IF(C45="-","-",IF($G$15="PVP saco palet (€/saco)",VLOOKUP(C45,'Listas-2'!$B$12:$K$468,10,),VLOOKUP(C45,'Listas-2'!$B$12:$K$468,9,)))</f>
        <v>-</v>
      </c>
      <c r="H45" s="229" t="str">
        <f>IF(C45="-","-",G45/VLOOKUP(C45,'Listas-2'!$B$12:$F$266,5,))</f>
        <v>-</v>
      </c>
      <c r="I45" s="327"/>
      <c r="J45" s="229" t="str">
        <f t="shared" si="1"/>
        <v>-</v>
      </c>
      <c r="K45" s="290">
        <f t="shared" si="2"/>
        <v>0</v>
      </c>
      <c r="M45" s="245"/>
      <c r="N45" s="250"/>
      <c r="O45" s="250"/>
      <c r="P45" s="250"/>
      <c r="Q45" s="250"/>
      <c r="R45" s="250"/>
      <c r="S45" s="250"/>
      <c r="T45" s="250"/>
      <c r="U45" s="250"/>
      <c r="V45" s="245"/>
      <c r="W45" s="245"/>
      <c r="X45" s="245"/>
      <c r="Y45" s="245"/>
      <c r="Z45" s="245"/>
      <c r="AA45" s="245"/>
      <c r="AB45" s="245"/>
      <c r="AC45" s="245"/>
      <c r="AD45" s="245"/>
      <c r="AE45" s="245"/>
      <c r="AF45" s="245"/>
      <c r="AG45" s="245"/>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row>
    <row r="46" spans="1:74" s="240" customFormat="1" ht="14.5" customHeight="1">
      <c r="B46" s="473" t="s">
        <v>11</v>
      </c>
      <c r="C46" s="465" t="s">
        <v>98</v>
      </c>
      <c r="D46" s="474"/>
      <c r="E46" s="227" t="str">
        <f>IF(C46="-","-",VLOOKUP(C46,'Listas-2'!$B$12:$K$464,6,))</f>
        <v>-</v>
      </c>
      <c r="F46" s="228" t="str">
        <f>IF(C46="-","-",VLOOKUP(C46,'Listas-2'!$B$12:$K$468,3,))</f>
        <v>-</v>
      </c>
      <c r="G46" s="229" t="str">
        <f>IF(C46="-","-",IF($G$15="PVP saco palet (€/saco)",VLOOKUP(C46,'Listas-2'!$B$12:$K$468,10,),VLOOKUP(C46,'Listas-2'!$B$12:$K$468,9,)))</f>
        <v>-</v>
      </c>
      <c r="H46" s="229" t="str">
        <f>IF(C46="-","-",G46/VLOOKUP(C46,'Listas-2'!$B$12:$F$266,5,))</f>
        <v>-</v>
      </c>
      <c r="I46" s="289"/>
      <c r="J46" s="229" t="str">
        <f t="shared" si="1"/>
        <v>-</v>
      </c>
      <c r="K46" s="290">
        <f t="shared" si="2"/>
        <v>0</v>
      </c>
      <c r="M46" s="245"/>
      <c r="N46" s="250"/>
      <c r="O46" s="250"/>
      <c r="P46" s="250"/>
      <c r="Q46" s="250"/>
      <c r="R46" s="250"/>
      <c r="S46" s="250"/>
      <c r="T46" s="250"/>
      <c r="U46" s="250"/>
      <c r="V46" s="245"/>
      <c r="W46" s="245"/>
      <c r="X46" s="245"/>
      <c r="Y46" s="245"/>
      <c r="Z46" s="245"/>
      <c r="AA46" s="245"/>
      <c r="AB46" s="245"/>
      <c r="AC46" s="245"/>
      <c r="AD46" s="245"/>
      <c r="AE46" s="245"/>
      <c r="AF46" s="245"/>
      <c r="AG46" s="245"/>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row>
    <row r="47" spans="1:74" s="240" customFormat="1" ht="14.5" customHeight="1">
      <c r="B47" s="473"/>
      <c r="C47" s="465" t="s">
        <v>98</v>
      </c>
      <c r="D47" s="465"/>
      <c r="E47" s="227" t="str">
        <f>IF(C47="-","-",VLOOKUP(C47,'Listas-2'!$B$12:$K$464,6,))</f>
        <v>-</v>
      </c>
      <c r="F47" s="228" t="str">
        <f>IF(C47="-","-",VLOOKUP(C47,'Listas-2'!$B$12:$K$468,3,))</f>
        <v>-</v>
      </c>
      <c r="G47" s="229" t="str">
        <f>IF(C47="-","-",IF($G$15="PVP saco palet (€/saco)",VLOOKUP(C47,'Listas-2'!$B$12:$K$468,10,),VLOOKUP(C47,'Listas-2'!$B$12:$K$468,9,)))</f>
        <v>-</v>
      </c>
      <c r="H47" s="229" t="str">
        <f>IF(C47="-","-",G47/VLOOKUP(C47,'Listas-2'!$B$12:$F$266,5,))</f>
        <v>-</v>
      </c>
      <c r="I47" s="327"/>
      <c r="J47" s="229" t="str">
        <f t="shared" si="1"/>
        <v>-</v>
      </c>
      <c r="K47" s="290">
        <f t="shared" si="2"/>
        <v>0</v>
      </c>
      <c r="M47" s="245"/>
      <c r="N47" s="291" t="str">
        <f>VLOOKUP(C47,'Lista - memorias'!$B$1:$C$241,2,)</f>
        <v>-</v>
      </c>
      <c r="O47" s="273" t="str">
        <f>IF(OR(N47="webertherm clima",N47="ceramic optima",N47="ceramic plus"),N47,"capa fina")</f>
        <v>capa fina</v>
      </c>
      <c r="P47" s="250"/>
      <c r="Q47" s="273"/>
      <c r="R47" s="250"/>
      <c r="S47" s="273" t="e">
        <f>VLOOKUP(N47,REV!$A$2:$B$16,2,)</f>
        <v>#N/A</v>
      </c>
      <c r="T47" s="250"/>
      <c r="U47" s="323" t="e">
        <f>IF(N47="webertene premium M",CONCATENATE(VLOOKUP(N47,REV!$A$2:$C$14,3,),VLOOKUP("weberprim silicato",REV!$A$2:$C$19,3,)),IF(AND(VLOOKUP(N47,REV!$A$2:$C$19,2,)="acabado orgánico",N44="webertherm base"),CONCATENATE(VLOOKUP(N47,REV!$A$3:$C$19,3,),VLOOKUP("webertene primer",REV!$A$3:$C$19,3,)),VLOOKUP(N47,REV!$A$2:$C$19,3,)))</f>
        <v>#N/A</v>
      </c>
      <c r="V47" s="245"/>
      <c r="W47" s="245"/>
      <c r="X47" s="245"/>
      <c r="Y47" s="245"/>
      <c r="Z47" s="245"/>
      <c r="AA47" s="245"/>
      <c r="AB47" s="245"/>
      <c r="AC47" s="245"/>
      <c r="AD47" s="245"/>
      <c r="AE47" s="245"/>
      <c r="AF47" s="245"/>
      <c r="AG47" s="245"/>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row>
    <row r="48" spans="1:74" s="240" customFormat="1">
      <c r="B48" s="328"/>
      <c r="C48" s="328"/>
      <c r="D48" s="242"/>
      <c r="E48" s="242"/>
      <c r="F48" s="318"/>
      <c r="G48" s="329"/>
      <c r="H48" s="329"/>
      <c r="I48" s="330"/>
      <c r="J48" s="329"/>
      <c r="K48" s="409"/>
      <c r="M48" s="245"/>
      <c r="N48" s="250" t="str">
        <f>VLOOKUP(C46,'Lista - memorias'!$B$1:$C$241,2,)</f>
        <v>-</v>
      </c>
      <c r="O48" s="250"/>
      <c r="P48" s="250"/>
      <c r="Q48" s="250"/>
      <c r="R48" s="250"/>
      <c r="S48" s="250"/>
      <c r="T48" s="250"/>
      <c r="U48" s="250"/>
      <c r="V48" s="245"/>
      <c r="W48" s="245"/>
      <c r="X48" s="245"/>
      <c r="Y48" s="245"/>
      <c r="Z48" s="245"/>
      <c r="AA48" s="245"/>
      <c r="AB48" s="245"/>
      <c r="AC48" s="245"/>
      <c r="AD48" s="245"/>
      <c r="AE48" s="245"/>
      <c r="AF48" s="245"/>
      <c r="AG48" s="245"/>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row>
    <row r="49" spans="1:74" s="240" customFormat="1" ht="14.5" thickBot="1">
      <c r="A49" s="258"/>
      <c r="B49" s="256"/>
      <c r="C49" s="256"/>
      <c r="D49" s="270"/>
      <c r="E49" s="242"/>
      <c r="F49" s="318"/>
      <c r="G49" s="329"/>
      <c r="H49" s="329"/>
      <c r="I49" s="330"/>
      <c r="J49" s="329"/>
      <c r="K49" s="409"/>
      <c r="M49" s="245"/>
      <c r="N49" s="250"/>
      <c r="O49" s="250"/>
      <c r="P49" s="250"/>
      <c r="Q49" s="250"/>
      <c r="R49" s="250"/>
      <c r="S49" s="250"/>
      <c r="T49" s="250"/>
      <c r="U49" s="250"/>
      <c r="V49" s="245"/>
      <c r="W49" s="245"/>
      <c r="X49" s="245"/>
      <c r="Y49" s="245"/>
      <c r="Z49" s="245"/>
      <c r="AA49" s="245"/>
      <c r="AB49" s="245"/>
      <c r="AC49" s="245"/>
      <c r="AD49" s="245"/>
      <c r="AE49" s="245"/>
      <c r="AF49" s="245"/>
      <c r="AG49" s="245"/>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row>
    <row r="50" spans="1:74" ht="22.15" customHeight="1" thickBot="1">
      <c r="A50" s="258"/>
      <c r="B50" s="349"/>
      <c r="C50" s="349"/>
      <c r="D50" s="256"/>
      <c r="E50" s="242"/>
      <c r="F50" s="475" t="s">
        <v>356</v>
      </c>
      <c r="G50" s="476"/>
      <c r="H50" s="476"/>
      <c r="I50" s="476"/>
      <c r="J50" s="477"/>
      <c r="K50" s="410">
        <f>SUM(K41:K47)</f>
        <v>0</v>
      </c>
      <c r="N50" s="303"/>
      <c r="O50" s="303"/>
      <c r="P50" s="303"/>
      <c r="Q50" s="303"/>
      <c r="R50" s="303"/>
      <c r="S50" s="303"/>
      <c r="T50" s="303"/>
      <c r="U50" s="308"/>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row>
    <row r="51" spans="1:74" ht="24.65" customHeight="1">
      <c r="A51" s="411"/>
      <c r="B51" s="349"/>
      <c r="C51" s="349"/>
      <c r="D51" s="316"/>
      <c r="E51" s="316"/>
      <c r="F51" s="498" t="s">
        <v>425</v>
      </c>
      <c r="G51" s="498"/>
      <c r="H51" s="498"/>
      <c r="I51" s="498"/>
      <c r="J51" s="498"/>
      <c r="K51" s="498"/>
      <c r="N51" s="303"/>
      <c r="O51" s="303"/>
      <c r="P51" s="303"/>
      <c r="Q51" s="303"/>
      <c r="R51" s="303"/>
      <c r="S51" s="303"/>
      <c r="T51" s="303"/>
      <c r="U51" s="308"/>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row>
    <row r="52" spans="1:74" ht="6" customHeight="1">
      <c r="A52" s="411"/>
      <c r="B52" s="316"/>
      <c r="C52" s="316"/>
      <c r="D52" s="316"/>
      <c r="E52" s="316"/>
      <c r="F52" s="316"/>
      <c r="G52" s="316"/>
      <c r="H52" s="316"/>
      <c r="I52" s="316"/>
      <c r="J52" s="316"/>
      <c r="K52" s="316"/>
      <c r="N52" s="303"/>
      <c r="O52" s="303"/>
      <c r="P52" s="303"/>
      <c r="Q52" s="303"/>
      <c r="R52" s="303"/>
      <c r="S52" s="303"/>
      <c r="T52" s="303"/>
      <c r="U52" s="308"/>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row>
    <row r="53" spans="1:74" ht="14.5" customHeight="1">
      <c r="A53" s="258"/>
      <c r="B53" s="258"/>
      <c r="C53" s="270"/>
      <c r="D53" s="270"/>
      <c r="E53" s="242"/>
      <c r="F53" s="318"/>
      <c r="G53" s="318"/>
      <c r="H53" s="318"/>
      <c r="I53" s="318"/>
      <c r="J53" s="318"/>
      <c r="K53" s="409"/>
      <c r="N53" s="303"/>
      <c r="O53" s="303"/>
      <c r="P53" s="303"/>
      <c r="Q53" s="303"/>
      <c r="R53" s="303"/>
      <c r="S53" s="303"/>
      <c r="T53" s="303"/>
      <c r="U53" s="308"/>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row>
    <row r="54" spans="1:74" ht="6" customHeight="1">
      <c r="A54" s="315"/>
      <c r="B54" s="320"/>
      <c r="C54" s="320"/>
      <c r="D54" s="320"/>
      <c r="E54" s="320"/>
      <c r="F54" s="320"/>
      <c r="G54" s="320"/>
      <c r="H54" s="320"/>
      <c r="I54" s="320"/>
      <c r="J54" s="320"/>
      <c r="K54" s="320"/>
      <c r="N54" s="303"/>
      <c r="O54" s="303"/>
      <c r="P54" s="303"/>
      <c r="Q54" s="303"/>
      <c r="R54" s="303"/>
      <c r="S54" s="303"/>
      <c r="T54" s="303"/>
      <c r="U54" s="308"/>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row>
    <row r="55" spans="1:74" ht="6" customHeight="1">
      <c r="A55" s="315"/>
      <c r="B55" s="316"/>
      <c r="C55" s="316"/>
      <c r="D55" s="316"/>
      <c r="E55" s="316"/>
      <c r="F55" s="316"/>
      <c r="G55" s="316"/>
      <c r="H55" s="316"/>
      <c r="I55" s="316"/>
      <c r="J55" s="316"/>
      <c r="K55" s="316"/>
      <c r="N55" s="303"/>
      <c r="O55" s="303"/>
      <c r="P55" s="303"/>
      <c r="Q55" s="303"/>
      <c r="R55" s="303"/>
      <c r="S55" s="303"/>
      <c r="T55" s="303"/>
      <c r="U55" s="308"/>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row>
    <row r="56" spans="1:74" ht="6" customHeight="1">
      <c r="A56" s="315"/>
      <c r="B56" s="316"/>
      <c r="C56" s="316"/>
      <c r="D56" s="316"/>
      <c r="E56" s="316"/>
      <c r="F56" s="316"/>
      <c r="G56" s="316"/>
      <c r="H56" s="316"/>
      <c r="I56" s="316"/>
      <c r="J56" s="316"/>
      <c r="K56" s="316"/>
      <c r="N56" s="303"/>
      <c r="O56" s="303"/>
      <c r="P56" s="303"/>
      <c r="Q56" s="303"/>
      <c r="R56" s="303"/>
      <c r="S56" s="303"/>
      <c r="T56" s="303"/>
      <c r="U56" s="308"/>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row>
    <row r="57" spans="1:74" ht="6" customHeight="1">
      <c r="A57" s="315"/>
      <c r="B57" s="316"/>
      <c r="C57" s="316"/>
      <c r="D57" s="316"/>
      <c r="E57" s="316"/>
      <c r="F57" s="316"/>
      <c r="G57" s="316"/>
      <c r="H57" s="316"/>
      <c r="I57" s="316"/>
      <c r="J57" s="316"/>
      <c r="K57" s="316"/>
      <c r="N57" s="303"/>
      <c r="O57" s="303"/>
      <c r="P57" s="303"/>
      <c r="Q57" s="303"/>
      <c r="R57" s="303"/>
      <c r="S57" s="303"/>
      <c r="T57" s="303"/>
      <c r="U57" s="308"/>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row>
    <row r="58" spans="1:74" ht="14.5" customHeight="1">
      <c r="B58" s="240"/>
      <c r="C58" s="242"/>
      <c r="D58" s="242"/>
      <c r="E58" s="242"/>
      <c r="F58" s="318"/>
      <c r="G58" s="318"/>
      <c r="H58" s="318"/>
      <c r="I58" s="318"/>
      <c r="J58" s="318"/>
      <c r="K58" s="409"/>
      <c r="N58" s="303"/>
      <c r="O58" s="303"/>
      <c r="P58" s="303"/>
      <c r="Q58" s="303"/>
      <c r="R58" s="303"/>
      <c r="S58" s="303"/>
      <c r="T58" s="303"/>
      <c r="U58" s="308"/>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row>
    <row r="59" spans="1:74" ht="14.5" customHeight="1">
      <c r="B59" s="269" t="s">
        <v>343</v>
      </c>
      <c r="C59" s="242"/>
      <c r="D59" s="242"/>
      <c r="E59" s="242"/>
      <c r="F59" s="318"/>
      <c r="G59" s="318"/>
      <c r="H59" s="318"/>
      <c r="I59" s="318"/>
      <c r="J59" s="318"/>
      <c r="K59" s="409"/>
      <c r="N59" s="303"/>
      <c r="O59" s="303"/>
      <c r="P59" s="303"/>
      <c r="Q59" s="303"/>
      <c r="R59" s="303"/>
      <c r="S59" s="303"/>
      <c r="T59" s="303"/>
      <c r="U59" s="308"/>
      <c r="AH59" s="324"/>
      <c r="AI59" s="324"/>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row>
    <row r="60" spans="1:74" s="271" customFormat="1">
      <c r="A60" s="258"/>
      <c r="B60" s="258"/>
      <c r="C60" s="270"/>
      <c r="D60" s="270"/>
      <c r="E60" s="270"/>
      <c r="F60" s="293"/>
      <c r="G60" s="293"/>
      <c r="H60" s="351"/>
      <c r="I60" s="258"/>
      <c r="J60" s="351"/>
      <c r="K60" s="412"/>
      <c r="L60" s="258"/>
      <c r="N60" s="303"/>
      <c r="O60" s="303"/>
      <c r="P60" s="303"/>
      <c r="Q60" s="303"/>
      <c r="R60" s="303"/>
      <c r="S60" s="303"/>
      <c r="T60" s="303"/>
      <c r="U60" s="303"/>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row>
    <row r="61" spans="1:74" s="271" customFormat="1" ht="14.5" customHeight="1">
      <c r="A61" s="258"/>
      <c r="B61" s="306" t="s">
        <v>143</v>
      </c>
      <c r="C61" s="481" t="s">
        <v>650</v>
      </c>
      <c r="D61" s="482"/>
      <c r="E61" s="227" t="str">
        <f>IF(C61="-","-",VLOOKUP(C61,'Listas-2'!$B$12:$K$464,6,))</f>
        <v>ml</v>
      </c>
      <c r="F61" s="228">
        <f>IF(C61="-","-",VLOOKUP(C61,'Listas-2'!$B$12:$K$468,3,))</f>
        <v>1</v>
      </c>
      <c r="G61" s="239">
        <f>IF(C61="-","-",IF($G$15="PVP saco palet (€/saco)",VLOOKUP(C61,'Listas-2'!$B$12:$K$468,10,),VLOOKUP(C61,'Listas-2'!$B$12:$K$468,9,)))</f>
        <v>195.24</v>
      </c>
      <c r="H61" s="239">
        <f>IF(C61="-","-",G61/VLOOKUP(C61,'Listas-2'!$B$12:$F$266,5,))</f>
        <v>7.8096000000000005</v>
      </c>
      <c r="I61" s="327"/>
      <c r="J61" s="239">
        <f t="shared" ref="J61:J66" si="3">IF(C61="-","-",(H61-(I61*H61)))</f>
        <v>7.8096000000000005</v>
      </c>
      <c r="K61" s="353">
        <f>IF(C61="Sin perfil de arranque",0,IF(C61="-",0,J61*F61))</f>
        <v>7.8096000000000005</v>
      </c>
      <c r="L61" s="258"/>
      <c r="N61" s="303"/>
      <c r="O61" s="303"/>
      <c r="P61" s="303"/>
      <c r="Q61" s="303"/>
      <c r="R61" s="303"/>
      <c r="S61" s="303"/>
      <c r="T61" s="303"/>
      <c r="U61" s="308"/>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row>
    <row r="62" spans="1:74" s="271" customFormat="1">
      <c r="A62" s="258"/>
      <c r="B62" s="306" t="s">
        <v>144</v>
      </c>
      <c r="C62" s="481" t="s">
        <v>98</v>
      </c>
      <c r="D62" s="482"/>
      <c r="E62" s="227" t="str">
        <f>IF(C62="-","-",VLOOKUP(C62,'Listas-2'!$B$12:$K$464,6,))</f>
        <v>-</v>
      </c>
      <c r="F62" s="228" t="str">
        <f>IF(C62="-","-",VLOOKUP(C62,'Listas-2'!$B$12:$K$468,3,))</f>
        <v>-</v>
      </c>
      <c r="G62" s="239" t="str">
        <f>IF(C62="-","-",IF($G$15="PVP saco palet (€/saco)",VLOOKUP(C62,'Listas-2'!$B$12:$K$468,10,),VLOOKUP(C62,'Listas-2'!$B$12:$K$468,9,)))</f>
        <v>-</v>
      </c>
      <c r="H62" s="239" t="str">
        <f>IF(C62="-","-",G62/VLOOKUP(C62,'Listas-2'!$B$12:$F$266,5,))</f>
        <v>-</v>
      </c>
      <c r="I62" s="289"/>
      <c r="J62" s="239" t="str">
        <f t="shared" si="3"/>
        <v>-</v>
      </c>
      <c r="K62" s="353">
        <f t="shared" ref="K62:K66" si="4">IF(C62="Sin perfil de arranque",0,IF(C62="-",0,J62*F62))</f>
        <v>0</v>
      </c>
      <c r="L62" s="258"/>
      <c r="N62" s="303"/>
      <c r="O62" s="303"/>
      <c r="P62" s="303"/>
      <c r="Q62" s="303"/>
      <c r="R62" s="303"/>
      <c r="S62" s="303"/>
      <c r="T62" s="303"/>
      <c r="U62" s="303"/>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row>
    <row r="63" spans="1:74" s="271" customFormat="1">
      <c r="A63" s="258"/>
      <c r="B63" s="306" t="s">
        <v>145</v>
      </c>
      <c r="C63" s="481" t="s">
        <v>98</v>
      </c>
      <c r="D63" s="482"/>
      <c r="E63" s="227" t="str">
        <f>IF(C63="-","-",VLOOKUP(C63,'Listas-2'!$B$12:$K$464,6,))</f>
        <v>-</v>
      </c>
      <c r="F63" s="228" t="str">
        <f>IF(C63="-","-",VLOOKUP(C63,'Listas-2'!$B$12:$K$468,3,))</f>
        <v>-</v>
      </c>
      <c r="G63" s="239" t="str">
        <f>IF(C63="-","-",IF($G$15="PVP saco palet (€/saco)",VLOOKUP(C63,'Listas-2'!$B$12:$K$468,10,),VLOOKUP(C63,'Listas-2'!$B$12:$K$468,9,)))</f>
        <v>-</v>
      </c>
      <c r="H63" s="239" t="str">
        <f>IF(C63="-","-",G63/VLOOKUP(C63,'Listas-2'!$B$12:$F$266,5,))</f>
        <v>-</v>
      </c>
      <c r="I63" s="289"/>
      <c r="J63" s="239" t="str">
        <f t="shared" si="3"/>
        <v>-</v>
      </c>
      <c r="K63" s="353">
        <f t="shared" si="4"/>
        <v>0</v>
      </c>
      <c r="L63" s="258"/>
      <c r="N63" s="303"/>
      <c r="O63" s="303"/>
      <c r="P63" s="303"/>
      <c r="Q63" s="303"/>
      <c r="R63" s="303"/>
      <c r="S63" s="303"/>
      <c r="T63" s="303"/>
      <c r="U63" s="303"/>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row>
    <row r="64" spans="1:74" s="271" customFormat="1">
      <c r="A64" s="258"/>
      <c r="B64" s="306" t="s">
        <v>146</v>
      </c>
      <c r="C64" s="481" t="s">
        <v>98</v>
      </c>
      <c r="D64" s="482"/>
      <c r="E64" s="227" t="str">
        <f>IF(C64="-","-",VLOOKUP(C64,'Listas-2'!$B$12:$K$464,6,))</f>
        <v>-</v>
      </c>
      <c r="F64" s="228" t="str">
        <f>IF(C64="-","-",VLOOKUP(C64,'Listas-2'!$B$12:$K$468,3,))</f>
        <v>-</v>
      </c>
      <c r="G64" s="239" t="str">
        <f>IF(C64="-","-",IF($G$15="PVP saco palet (€/saco)",VLOOKUP(C64,'Listas-2'!$B$12:$K$468,10,),VLOOKUP(C64,'Listas-2'!$B$12:$K$468,9,)))</f>
        <v>-</v>
      </c>
      <c r="H64" s="239" t="str">
        <f>IF(C64="-","-",G64/VLOOKUP(C64,'Listas-2'!$B$12:$F$266,5,))</f>
        <v>-</v>
      </c>
      <c r="I64" s="289"/>
      <c r="J64" s="239" t="str">
        <f t="shared" si="3"/>
        <v>-</v>
      </c>
      <c r="K64" s="353">
        <f t="shared" si="4"/>
        <v>0</v>
      </c>
      <c r="L64" s="258"/>
      <c r="N64" s="303"/>
      <c r="O64" s="303"/>
      <c r="P64" s="303"/>
      <c r="Q64" s="303"/>
      <c r="R64" s="303"/>
      <c r="S64" s="303"/>
      <c r="T64" s="303"/>
      <c r="U64" s="303"/>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row>
    <row r="65" spans="1:74" s="271" customFormat="1">
      <c r="A65" s="258"/>
      <c r="B65" s="306" t="s">
        <v>315</v>
      </c>
      <c r="C65" s="481" t="s">
        <v>98</v>
      </c>
      <c r="D65" s="482"/>
      <c r="E65" s="227" t="str">
        <f>IF(C65="-","-",VLOOKUP(C65,'Listas-2'!$B$12:$K$464,6,))</f>
        <v>-</v>
      </c>
      <c r="F65" s="228" t="str">
        <f>IF(C65="-","-",VLOOKUP(C65,'Listas-2'!$B$12:$K$468,3,))</f>
        <v>-</v>
      </c>
      <c r="G65" s="239" t="str">
        <f>IF(C65="-","-",IF($G$15="PVP saco palet (€/saco)",VLOOKUP(C65,'Listas-2'!$B$12:$K$468,10,),VLOOKUP(C65,'Listas-2'!$B$12:$K$468,9,)))</f>
        <v>-</v>
      </c>
      <c r="H65" s="239" t="str">
        <f>IF(C65="-","-",G65/VLOOKUP(C65,'Listas-2'!$B$12:$F$266,5,))</f>
        <v>-</v>
      </c>
      <c r="I65" s="289"/>
      <c r="J65" s="239" t="str">
        <f t="shared" si="3"/>
        <v>-</v>
      </c>
      <c r="K65" s="354">
        <f t="shared" si="4"/>
        <v>0</v>
      </c>
      <c r="L65" s="258"/>
      <c r="N65" s="303"/>
      <c r="O65" s="303"/>
      <c r="P65" s="303"/>
      <c r="Q65" s="303"/>
      <c r="R65" s="303"/>
      <c r="S65" s="303"/>
      <c r="T65" s="303"/>
      <c r="U65" s="303"/>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c r="BU65" s="301"/>
      <c r="BV65" s="301"/>
    </row>
    <row r="66" spans="1:74" s="271" customFormat="1">
      <c r="A66" s="258"/>
      <c r="B66" s="306" t="s">
        <v>316</v>
      </c>
      <c r="C66" s="481" t="s">
        <v>98</v>
      </c>
      <c r="D66" s="482"/>
      <c r="E66" s="227" t="str">
        <f>IF(C66="-","-",VLOOKUP(C66,'Listas-2'!$B$12:$K$464,6,))</f>
        <v>-</v>
      </c>
      <c r="F66" s="228" t="str">
        <f>IF(C66="-","-",VLOOKUP(C66,'Listas-2'!$B$12:$K$468,3,))</f>
        <v>-</v>
      </c>
      <c r="G66" s="239" t="str">
        <f>IF(C66="-","-",IF($G$15="PVP saco palet (€/saco)",VLOOKUP(C66,'Listas-2'!$B$12:$K$468,10,),VLOOKUP(C66,'Listas-2'!$B$12:$K$468,9,)))</f>
        <v>-</v>
      </c>
      <c r="H66" s="239" t="str">
        <f>IF(C66="-","-",G66/VLOOKUP(C66,'Listas-2'!$B$12:$F$266,5,))</f>
        <v>-</v>
      </c>
      <c r="I66" s="289"/>
      <c r="J66" s="239" t="str">
        <f t="shared" si="3"/>
        <v>-</v>
      </c>
      <c r="K66" s="353">
        <f t="shared" si="4"/>
        <v>0</v>
      </c>
      <c r="L66" s="258"/>
      <c r="N66" s="303"/>
      <c r="O66" s="303"/>
      <c r="P66" s="303"/>
      <c r="Q66" s="303"/>
      <c r="R66" s="303"/>
      <c r="S66" s="303"/>
      <c r="T66" s="303"/>
      <c r="U66" s="303"/>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301"/>
    </row>
    <row r="67" spans="1:74" s="240" customFormat="1" ht="1.9" customHeight="1">
      <c r="E67" s="242"/>
      <c r="F67" s="243"/>
      <c r="G67" s="243"/>
      <c r="I67" s="240">
        <v>5</v>
      </c>
      <c r="M67" s="245"/>
      <c r="N67" s="303"/>
      <c r="O67" s="303"/>
      <c r="P67" s="303"/>
      <c r="Q67" s="303"/>
      <c r="R67" s="303"/>
      <c r="S67" s="303"/>
      <c r="T67" s="303"/>
      <c r="U67" s="303"/>
      <c r="V67" s="245"/>
      <c r="W67" s="245"/>
      <c r="X67" s="245"/>
      <c r="Y67" s="245"/>
      <c r="Z67" s="245"/>
      <c r="AA67" s="245"/>
      <c r="AB67" s="245"/>
      <c r="AC67" s="245"/>
      <c r="AD67" s="245"/>
      <c r="AE67" s="245"/>
      <c r="AF67" s="245"/>
      <c r="AG67" s="245"/>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row>
    <row r="68" spans="1:74" s="240" customFormat="1" ht="1.9" customHeight="1">
      <c r="E68" s="242"/>
      <c r="F68" s="243"/>
      <c r="G68" s="243"/>
      <c r="M68" s="245"/>
      <c r="N68" s="303"/>
      <c r="O68" s="303"/>
      <c r="P68" s="303"/>
      <c r="Q68" s="303"/>
      <c r="R68" s="303"/>
      <c r="S68" s="303"/>
      <c r="T68" s="303"/>
      <c r="U68" s="303"/>
      <c r="V68" s="245"/>
      <c r="W68" s="245"/>
      <c r="X68" s="245"/>
      <c r="Y68" s="245"/>
      <c r="Z68" s="245"/>
      <c r="AA68" s="245"/>
      <c r="AB68" s="245"/>
      <c r="AC68" s="245"/>
      <c r="AD68" s="245"/>
      <c r="AE68" s="245"/>
      <c r="AF68" s="245"/>
      <c r="AG68" s="245"/>
      <c r="AH68" s="324"/>
      <c r="AI68" s="324"/>
      <c r="AJ68" s="324"/>
      <c r="AK68" s="324"/>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row>
    <row r="69" spans="1:74" s="240" customFormat="1" ht="1.9" customHeight="1">
      <c r="E69" s="242"/>
      <c r="F69" s="243"/>
      <c r="G69" s="243"/>
      <c r="M69" s="245"/>
      <c r="N69" s="303"/>
      <c r="O69" s="303"/>
      <c r="P69" s="303"/>
      <c r="Q69" s="303"/>
      <c r="R69" s="303"/>
      <c r="S69" s="303"/>
      <c r="T69" s="303"/>
      <c r="U69" s="303"/>
      <c r="V69" s="245"/>
      <c r="W69" s="245"/>
      <c r="X69" s="245"/>
      <c r="Y69" s="245"/>
      <c r="Z69" s="245"/>
      <c r="AA69" s="245"/>
      <c r="AB69" s="245"/>
      <c r="AC69" s="245"/>
      <c r="AD69" s="245"/>
      <c r="AE69" s="245"/>
      <c r="AF69" s="245"/>
      <c r="AG69" s="245"/>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row>
    <row r="70" spans="1:74" s="240" customFormat="1" ht="1.9" customHeight="1">
      <c r="E70" s="242"/>
      <c r="F70" s="243"/>
      <c r="G70" s="243"/>
      <c r="M70" s="245"/>
      <c r="N70" s="303"/>
      <c r="O70" s="303"/>
      <c r="P70" s="303"/>
      <c r="Q70" s="303"/>
      <c r="R70" s="303"/>
      <c r="S70" s="303"/>
      <c r="T70" s="303"/>
      <c r="U70" s="303"/>
      <c r="V70" s="245"/>
      <c r="W70" s="245"/>
      <c r="X70" s="245"/>
      <c r="Y70" s="245"/>
      <c r="Z70" s="245"/>
      <c r="AA70" s="245"/>
      <c r="AB70" s="245"/>
      <c r="AC70" s="245"/>
      <c r="AD70" s="245"/>
      <c r="AE70" s="245"/>
      <c r="AF70" s="245"/>
      <c r="AG70" s="245"/>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row>
    <row r="71" spans="1:74" s="240" customFormat="1">
      <c r="B71" s="328"/>
      <c r="C71" s="328"/>
      <c r="D71" s="480"/>
      <c r="E71" s="480"/>
      <c r="F71" s="480"/>
      <c r="G71" s="480"/>
      <c r="H71" s="480"/>
      <c r="I71" s="480"/>
      <c r="J71" s="480"/>
      <c r="K71" s="480"/>
      <c r="M71" s="245"/>
      <c r="N71" s="303"/>
      <c r="O71" s="303"/>
      <c r="P71" s="303"/>
      <c r="Q71" s="303"/>
      <c r="R71" s="303"/>
      <c r="S71" s="303"/>
      <c r="T71" s="303"/>
      <c r="U71" s="303"/>
      <c r="V71" s="245"/>
      <c r="W71" s="245"/>
      <c r="X71" s="245"/>
      <c r="Y71" s="245"/>
      <c r="Z71" s="245"/>
      <c r="AA71" s="245"/>
      <c r="AB71" s="245"/>
      <c r="AC71" s="245"/>
      <c r="AD71" s="245"/>
      <c r="AE71" s="245"/>
      <c r="AF71" s="245"/>
      <c r="AG71" s="245"/>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row>
    <row r="72" spans="1:74" s="240" customFormat="1">
      <c r="B72" s="328"/>
      <c r="C72" s="328"/>
      <c r="D72" s="480"/>
      <c r="E72" s="480"/>
      <c r="F72" s="480"/>
      <c r="G72" s="480"/>
      <c r="H72" s="480"/>
      <c r="I72" s="480"/>
      <c r="J72" s="480"/>
      <c r="K72" s="480"/>
      <c r="M72" s="245"/>
      <c r="N72" s="303"/>
      <c r="O72" s="303"/>
      <c r="P72" s="303"/>
      <c r="Q72" s="303"/>
      <c r="R72" s="303"/>
      <c r="S72" s="303"/>
      <c r="T72" s="303"/>
      <c r="U72" s="303"/>
      <c r="V72" s="245"/>
      <c r="W72" s="245"/>
      <c r="X72" s="245"/>
      <c r="Y72" s="245"/>
      <c r="Z72" s="245"/>
      <c r="AA72" s="245"/>
      <c r="AB72" s="245"/>
      <c r="AC72" s="245"/>
      <c r="AD72" s="245"/>
      <c r="AE72" s="245"/>
      <c r="AF72" s="245"/>
      <c r="AG72" s="245"/>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row>
    <row r="73" spans="1:74" s="271" customFormat="1">
      <c r="A73" s="258"/>
      <c r="B73" s="258"/>
      <c r="C73" s="258"/>
      <c r="D73" s="258"/>
      <c r="E73" s="270"/>
      <c r="F73" s="293"/>
      <c r="G73" s="293"/>
      <c r="H73" s="479"/>
      <c r="I73" s="479"/>
      <c r="J73" s="479"/>
      <c r="K73" s="413"/>
      <c r="L73" s="258"/>
      <c r="N73" s="303"/>
      <c r="O73" s="303"/>
      <c r="P73" s="303"/>
      <c r="Q73" s="303"/>
      <c r="R73" s="303"/>
      <c r="S73" s="303"/>
      <c r="T73" s="303"/>
      <c r="U73" s="303"/>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301"/>
      <c r="BS73" s="301"/>
      <c r="BT73" s="301"/>
      <c r="BU73" s="301"/>
      <c r="BV73" s="301"/>
    </row>
    <row r="74" spans="1:74" s="240" customFormat="1">
      <c r="B74" s="328"/>
      <c r="C74" s="328"/>
      <c r="D74" s="480"/>
      <c r="E74" s="480"/>
      <c r="F74" s="480"/>
      <c r="G74" s="480"/>
      <c r="H74" s="480"/>
      <c r="I74" s="480"/>
      <c r="J74" s="480"/>
      <c r="K74" s="480"/>
      <c r="M74" s="245"/>
      <c r="N74" s="303"/>
      <c r="O74" s="303"/>
      <c r="P74" s="303"/>
      <c r="Q74" s="303"/>
      <c r="R74" s="303"/>
      <c r="S74" s="303"/>
      <c r="T74" s="303"/>
      <c r="U74" s="303"/>
      <c r="V74" s="245"/>
      <c r="W74" s="245"/>
      <c r="X74" s="245"/>
      <c r="Y74" s="245"/>
      <c r="Z74" s="245"/>
      <c r="AA74" s="245"/>
      <c r="AB74" s="245"/>
      <c r="AC74" s="245"/>
      <c r="AD74" s="245"/>
      <c r="AE74" s="245"/>
      <c r="AF74" s="245"/>
      <c r="AG74" s="245"/>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row>
    <row r="75" spans="1:74" s="240" customFormat="1">
      <c r="B75" s="328"/>
      <c r="C75" s="328"/>
      <c r="D75" s="480"/>
      <c r="E75" s="480"/>
      <c r="F75" s="480"/>
      <c r="G75" s="480"/>
      <c r="H75" s="480"/>
      <c r="I75" s="480"/>
      <c r="J75" s="480"/>
      <c r="K75" s="480"/>
      <c r="M75" s="245"/>
      <c r="N75" s="303"/>
      <c r="O75" s="303"/>
      <c r="P75" s="303"/>
      <c r="Q75" s="303"/>
      <c r="R75" s="303"/>
      <c r="S75" s="303"/>
      <c r="T75" s="303"/>
      <c r="U75" s="303"/>
      <c r="V75" s="245"/>
      <c r="W75" s="245"/>
      <c r="X75" s="245"/>
      <c r="Y75" s="245"/>
      <c r="Z75" s="245"/>
      <c r="AA75" s="245"/>
      <c r="AB75" s="245"/>
      <c r="AC75" s="245"/>
      <c r="AD75" s="245"/>
      <c r="AE75" s="245"/>
      <c r="AF75" s="245"/>
      <c r="AG75" s="245"/>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row>
    <row r="76" spans="1:74" s="271" customFormat="1">
      <c r="A76" s="258"/>
      <c r="B76" s="258"/>
      <c r="C76" s="258"/>
      <c r="D76" s="258"/>
      <c r="E76" s="270"/>
      <c r="F76" s="293"/>
      <c r="G76" s="293"/>
      <c r="H76" s="479"/>
      <c r="I76" s="479"/>
      <c r="J76" s="479"/>
      <c r="K76" s="413"/>
      <c r="L76" s="258"/>
      <c r="N76" s="303"/>
      <c r="O76" s="303"/>
      <c r="P76" s="303"/>
      <c r="Q76" s="303"/>
      <c r="R76" s="303"/>
      <c r="S76" s="303"/>
      <c r="T76" s="303"/>
      <c r="U76" s="303"/>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301"/>
      <c r="BP76" s="301"/>
      <c r="BQ76" s="301"/>
      <c r="BR76" s="301"/>
      <c r="BS76" s="301"/>
      <c r="BT76" s="301"/>
      <c r="BU76" s="301"/>
      <c r="BV76" s="301"/>
    </row>
    <row r="77" spans="1:74" s="240" customFormat="1">
      <c r="B77" s="328"/>
      <c r="C77" s="328"/>
      <c r="D77" s="480"/>
      <c r="E77" s="480"/>
      <c r="F77" s="480"/>
      <c r="G77" s="480"/>
      <c r="H77" s="480"/>
      <c r="I77" s="480"/>
      <c r="J77" s="480"/>
      <c r="K77" s="480"/>
      <c r="M77" s="245"/>
      <c r="N77" s="303"/>
      <c r="O77" s="303"/>
      <c r="P77" s="303"/>
      <c r="Q77" s="303"/>
      <c r="R77" s="303"/>
      <c r="S77" s="303"/>
      <c r="T77" s="303"/>
      <c r="U77" s="303"/>
      <c r="V77" s="245"/>
      <c r="W77" s="245"/>
      <c r="X77" s="245"/>
      <c r="Y77" s="245"/>
      <c r="Z77" s="245"/>
      <c r="AA77" s="245"/>
      <c r="AB77" s="245"/>
      <c r="AC77" s="245"/>
      <c r="AD77" s="245"/>
      <c r="AE77" s="245"/>
      <c r="AF77" s="245"/>
      <c r="AG77" s="245"/>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row>
    <row r="78" spans="1:74" s="240" customFormat="1">
      <c r="B78" s="328"/>
      <c r="C78" s="328"/>
      <c r="D78" s="480"/>
      <c r="E78" s="480"/>
      <c r="F78" s="480"/>
      <c r="G78" s="480"/>
      <c r="H78" s="480"/>
      <c r="I78" s="480"/>
      <c r="J78" s="480"/>
      <c r="K78" s="480"/>
      <c r="M78" s="245"/>
      <c r="N78" s="303"/>
      <c r="O78" s="303"/>
      <c r="P78" s="303"/>
      <c r="Q78" s="303"/>
      <c r="R78" s="303"/>
      <c r="S78" s="303"/>
      <c r="T78" s="303"/>
      <c r="U78" s="303"/>
      <c r="V78" s="245"/>
      <c r="W78" s="245"/>
      <c r="X78" s="245"/>
      <c r="Y78" s="245"/>
      <c r="Z78" s="245"/>
      <c r="AA78" s="245"/>
      <c r="AB78" s="245"/>
      <c r="AC78" s="245"/>
      <c r="AD78" s="245"/>
      <c r="AE78" s="245"/>
      <c r="AF78" s="245"/>
      <c r="AG78" s="245"/>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row>
    <row r="79" spans="1:74" s="271" customFormat="1">
      <c r="A79" s="258"/>
      <c r="B79" s="258"/>
      <c r="C79" s="258"/>
      <c r="D79" s="258"/>
      <c r="E79" s="270"/>
      <c r="F79" s="293"/>
      <c r="G79" s="293"/>
      <c r="H79" s="479"/>
      <c r="I79" s="479"/>
      <c r="J79" s="479"/>
      <c r="K79" s="413"/>
      <c r="L79" s="258"/>
      <c r="N79" s="303"/>
      <c r="O79" s="303"/>
      <c r="P79" s="303"/>
      <c r="Q79" s="303"/>
      <c r="R79" s="303"/>
      <c r="S79" s="303"/>
      <c r="T79" s="303"/>
      <c r="U79" s="303"/>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301"/>
      <c r="BS79" s="301"/>
      <c r="BT79" s="301"/>
      <c r="BU79" s="301"/>
      <c r="BV79" s="301"/>
    </row>
    <row r="80" spans="1:74" s="240" customFormat="1" ht="1.9" customHeight="1">
      <c r="E80" s="242"/>
      <c r="F80" s="243"/>
      <c r="G80" s="243"/>
      <c r="M80" s="245"/>
      <c r="N80" s="303"/>
      <c r="O80" s="303"/>
      <c r="P80" s="303"/>
      <c r="Q80" s="303"/>
      <c r="R80" s="303"/>
      <c r="S80" s="303"/>
      <c r="T80" s="303"/>
      <c r="U80" s="303"/>
      <c r="V80" s="245"/>
      <c r="W80" s="245"/>
      <c r="X80" s="245"/>
      <c r="Y80" s="245"/>
      <c r="Z80" s="245"/>
      <c r="AA80" s="245"/>
      <c r="AB80" s="245"/>
      <c r="AC80" s="245"/>
      <c r="AD80" s="245"/>
      <c r="AE80" s="245"/>
      <c r="AF80" s="245"/>
      <c r="AG80" s="245"/>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row>
    <row r="81" spans="1:74" s="240" customFormat="1" ht="1.9" customHeight="1">
      <c r="E81" s="242"/>
      <c r="F81" s="243"/>
      <c r="G81" s="243"/>
      <c r="M81" s="245"/>
      <c r="N81" s="303"/>
      <c r="O81" s="303"/>
      <c r="P81" s="303"/>
      <c r="Q81" s="303"/>
      <c r="R81" s="303"/>
      <c r="S81" s="303"/>
      <c r="T81" s="303"/>
      <c r="U81" s="303"/>
      <c r="V81" s="245"/>
      <c r="W81" s="245"/>
      <c r="X81" s="245"/>
      <c r="Y81" s="245"/>
      <c r="Z81" s="245"/>
      <c r="AA81" s="245"/>
      <c r="AB81" s="245"/>
      <c r="AC81" s="245"/>
      <c r="AD81" s="245"/>
      <c r="AE81" s="245"/>
      <c r="AF81" s="245"/>
      <c r="AG81" s="245"/>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row>
    <row r="82" spans="1:74" s="240" customFormat="1" ht="1.9" customHeight="1">
      <c r="E82" s="242"/>
      <c r="F82" s="243"/>
      <c r="G82" s="243"/>
      <c r="M82" s="245"/>
      <c r="N82" s="303"/>
      <c r="O82" s="303"/>
      <c r="P82" s="303"/>
      <c r="Q82" s="303"/>
      <c r="R82" s="303"/>
      <c r="S82" s="303"/>
      <c r="T82" s="303"/>
      <c r="U82" s="303"/>
      <c r="V82" s="245"/>
      <c r="W82" s="245"/>
      <c r="X82" s="245"/>
      <c r="Y82" s="245"/>
      <c r="Z82" s="245"/>
      <c r="AA82" s="245"/>
      <c r="AB82" s="245"/>
      <c r="AC82" s="245"/>
      <c r="AD82" s="245"/>
      <c r="AE82" s="245"/>
      <c r="AF82" s="245"/>
      <c r="AG82" s="245"/>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row>
    <row r="83" spans="1:74" s="240" customFormat="1" ht="1.9" customHeight="1">
      <c r="E83" s="242"/>
      <c r="F83" s="243"/>
      <c r="G83" s="243"/>
      <c r="M83" s="245"/>
      <c r="N83" s="303"/>
      <c r="O83" s="303"/>
      <c r="P83" s="303"/>
      <c r="Q83" s="303"/>
      <c r="R83" s="303"/>
      <c r="S83" s="303"/>
      <c r="T83" s="303"/>
      <c r="U83" s="303"/>
      <c r="V83" s="245"/>
      <c r="W83" s="245"/>
      <c r="X83" s="245"/>
      <c r="Y83" s="245"/>
      <c r="Z83" s="245"/>
      <c r="AA83" s="245"/>
      <c r="AB83" s="245"/>
      <c r="AC83" s="245"/>
      <c r="AD83" s="245"/>
      <c r="AE83" s="245"/>
      <c r="AF83" s="245"/>
      <c r="AG83" s="245"/>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row>
    <row r="84" spans="1:74" s="240" customFormat="1">
      <c r="B84" s="328"/>
      <c r="C84" s="328"/>
      <c r="D84" s="480"/>
      <c r="E84" s="480"/>
      <c r="F84" s="480"/>
      <c r="G84" s="480"/>
      <c r="H84" s="480"/>
      <c r="I84" s="480"/>
      <c r="J84" s="480"/>
      <c r="K84" s="480"/>
      <c r="M84" s="245"/>
      <c r="N84" s="303"/>
      <c r="O84" s="303"/>
      <c r="P84" s="303"/>
      <c r="Q84" s="303"/>
      <c r="R84" s="303"/>
      <c r="S84" s="303"/>
      <c r="T84" s="303"/>
      <c r="U84" s="303"/>
      <c r="V84" s="245"/>
      <c r="W84" s="245"/>
      <c r="X84" s="245"/>
      <c r="Y84" s="245"/>
      <c r="Z84" s="245"/>
      <c r="AA84" s="245"/>
      <c r="AB84" s="245"/>
      <c r="AC84" s="245"/>
      <c r="AD84" s="245"/>
      <c r="AE84" s="245"/>
      <c r="AF84" s="245"/>
      <c r="AG84" s="245"/>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row>
    <row r="85" spans="1:74" s="240" customFormat="1">
      <c r="B85" s="328"/>
      <c r="C85" s="328"/>
      <c r="D85" s="480"/>
      <c r="E85" s="480"/>
      <c r="F85" s="480"/>
      <c r="G85" s="480"/>
      <c r="H85" s="480"/>
      <c r="I85" s="480"/>
      <c r="J85" s="480"/>
      <c r="K85" s="480"/>
      <c r="M85" s="245"/>
      <c r="N85" s="303"/>
      <c r="O85" s="303"/>
      <c r="P85" s="303"/>
      <c r="Q85" s="303"/>
      <c r="R85" s="303"/>
      <c r="S85" s="303"/>
      <c r="T85" s="303"/>
      <c r="U85" s="303"/>
      <c r="V85" s="245"/>
      <c r="W85" s="245"/>
      <c r="X85" s="245"/>
      <c r="Y85" s="245"/>
      <c r="Z85" s="245"/>
      <c r="AA85" s="245"/>
      <c r="AB85" s="245"/>
      <c r="AC85" s="245"/>
      <c r="AD85" s="245"/>
      <c r="AE85" s="245"/>
      <c r="AF85" s="245"/>
      <c r="AG85" s="245"/>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row>
    <row r="86" spans="1:74" s="240" customFormat="1" ht="3.65" customHeight="1">
      <c r="B86" s="355"/>
      <c r="C86" s="355"/>
      <c r="D86" s="355"/>
      <c r="E86" s="356"/>
      <c r="F86" s="357"/>
      <c r="G86" s="357"/>
      <c r="H86" s="355"/>
      <c r="I86" s="355"/>
      <c r="J86" s="355"/>
      <c r="K86" s="355"/>
      <c r="M86" s="245"/>
      <c r="N86" s="303"/>
      <c r="O86" s="303"/>
      <c r="P86" s="303"/>
      <c r="Q86" s="303"/>
      <c r="R86" s="303"/>
      <c r="S86" s="303"/>
      <c r="T86" s="303"/>
      <c r="U86" s="303"/>
      <c r="V86" s="245"/>
      <c r="W86" s="245"/>
      <c r="X86" s="245"/>
      <c r="Y86" s="245"/>
      <c r="Z86" s="245"/>
      <c r="AA86" s="245"/>
      <c r="AB86" s="245"/>
      <c r="AC86" s="245"/>
      <c r="AD86" s="245"/>
      <c r="AE86" s="245"/>
      <c r="AF86" s="245"/>
      <c r="AG86" s="245"/>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row>
    <row r="87" spans="1:74" s="240" customFormat="1">
      <c r="B87" s="484" t="s">
        <v>307</v>
      </c>
      <c r="C87" s="484"/>
      <c r="D87" s="484"/>
      <c r="E87" s="484"/>
      <c r="F87" s="484"/>
      <c r="G87" s="484"/>
      <c r="H87" s="484"/>
      <c r="I87" s="484"/>
      <c r="J87" s="484"/>
      <c r="K87" s="484"/>
      <c r="M87" s="245"/>
      <c r="N87" s="303"/>
      <c r="O87" s="303"/>
      <c r="P87" s="303"/>
      <c r="Q87" s="303"/>
      <c r="R87" s="303"/>
      <c r="S87" s="303"/>
      <c r="T87" s="303"/>
      <c r="U87" s="303"/>
      <c r="V87" s="245"/>
      <c r="W87" s="245"/>
      <c r="X87" s="245"/>
      <c r="Y87" s="245"/>
      <c r="Z87" s="245"/>
      <c r="AA87" s="245"/>
      <c r="AB87" s="245"/>
      <c r="AC87" s="245"/>
      <c r="AD87" s="245"/>
      <c r="AE87" s="245"/>
      <c r="AF87" s="245"/>
      <c r="AG87" s="245"/>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row>
    <row r="88" spans="1:74" s="240" customFormat="1" ht="13.9" customHeight="1">
      <c r="B88" s="484"/>
      <c r="C88" s="484"/>
      <c r="D88" s="484"/>
      <c r="E88" s="484"/>
      <c r="F88" s="484"/>
      <c r="G88" s="484"/>
      <c r="H88" s="484"/>
      <c r="I88" s="484"/>
      <c r="J88" s="484"/>
      <c r="K88" s="484"/>
      <c r="M88" s="245"/>
      <c r="N88" s="303"/>
      <c r="O88" s="303"/>
      <c r="P88" s="303"/>
      <c r="Q88" s="303"/>
      <c r="R88" s="303"/>
      <c r="S88" s="303"/>
      <c r="T88" s="303"/>
      <c r="U88" s="303"/>
      <c r="V88" s="245"/>
      <c r="W88" s="245"/>
      <c r="X88" s="245"/>
      <c r="Y88" s="245"/>
      <c r="Z88" s="245"/>
      <c r="AA88" s="245"/>
      <c r="AB88" s="245"/>
      <c r="AC88" s="245"/>
      <c r="AD88" s="245"/>
      <c r="AE88" s="245"/>
      <c r="AF88" s="245"/>
      <c r="AG88" s="245"/>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row>
    <row r="89" spans="1:74" ht="30.65" customHeight="1">
      <c r="B89" s="484"/>
      <c r="C89" s="484"/>
      <c r="D89" s="484"/>
      <c r="E89" s="484"/>
      <c r="F89" s="484"/>
      <c r="G89" s="484"/>
      <c r="H89" s="484"/>
      <c r="I89" s="484"/>
      <c r="J89" s="484"/>
      <c r="K89" s="484"/>
      <c r="N89" s="303"/>
      <c r="O89" s="303"/>
      <c r="P89" s="303"/>
      <c r="Q89" s="303"/>
      <c r="R89" s="303"/>
      <c r="S89" s="303"/>
      <c r="T89" s="303"/>
      <c r="U89" s="303"/>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row>
    <row r="90" spans="1:74" ht="1.9" hidden="1" customHeight="1">
      <c r="B90" s="484"/>
      <c r="C90" s="484"/>
      <c r="D90" s="484"/>
      <c r="E90" s="484"/>
      <c r="F90" s="484"/>
      <c r="G90" s="484"/>
      <c r="H90" s="484"/>
      <c r="I90" s="484"/>
      <c r="J90" s="484"/>
      <c r="K90" s="484"/>
      <c r="N90" s="303"/>
      <c r="O90" s="303"/>
      <c r="P90" s="303"/>
      <c r="Q90" s="303"/>
      <c r="R90" s="303"/>
      <c r="S90" s="303"/>
      <c r="T90" s="303"/>
      <c r="U90" s="303"/>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row>
    <row r="91" spans="1:74">
      <c r="A91" s="245"/>
      <c r="B91" s="245"/>
      <c r="C91" s="245"/>
      <c r="D91" s="245"/>
      <c r="E91" s="246"/>
      <c r="F91" s="359"/>
      <c r="G91" s="359"/>
      <c r="H91" s="245"/>
      <c r="I91" s="245"/>
      <c r="J91" s="245"/>
      <c r="K91" s="245"/>
      <c r="L91" s="245"/>
      <c r="N91" s="303"/>
      <c r="O91" s="303"/>
      <c r="P91" s="303"/>
      <c r="Q91" s="303"/>
      <c r="R91" s="303"/>
      <c r="S91" s="303"/>
      <c r="T91" s="303"/>
      <c r="U91" s="303"/>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row>
    <row r="92" spans="1:74" ht="15.5">
      <c r="B92" s="241"/>
      <c r="C92" s="240"/>
      <c r="D92" s="240"/>
      <c r="E92" s="242"/>
      <c r="F92" s="243"/>
      <c r="G92" s="243"/>
      <c r="H92" s="240"/>
      <c r="I92" s="240"/>
      <c r="J92" s="240"/>
      <c r="K92" s="240"/>
      <c r="N92" s="303"/>
      <c r="O92" s="303"/>
      <c r="P92" s="303"/>
      <c r="Q92" s="303"/>
      <c r="R92" s="303"/>
      <c r="S92" s="303"/>
      <c r="T92" s="303"/>
      <c r="U92" s="303"/>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row>
    <row r="93" spans="1:74">
      <c r="B93" s="240"/>
      <c r="C93" s="240"/>
      <c r="D93" s="240"/>
      <c r="E93" s="242"/>
      <c r="F93" s="243"/>
      <c r="G93" s="243"/>
      <c r="H93" s="240"/>
      <c r="I93" s="240"/>
      <c r="J93" s="240"/>
      <c r="K93" s="240"/>
      <c r="N93" s="303"/>
      <c r="O93" s="303"/>
      <c r="P93" s="303"/>
      <c r="Q93" s="303"/>
      <c r="R93" s="303"/>
      <c r="S93" s="303"/>
      <c r="T93" s="303"/>
      <c r="U93" s="303"/>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row>
    <row r="94" spans="1:74">
      <c r="B94" s="247" t="s">
        <v>117</v>
      </c>
      <c r="C94" s="467">
        <f ca="1">TODAY()</f>
        <v>45701</v>
      </c>
      <c r="D94" s="467"/>
      <c r="E94" s="248"/>
      <c r="F94" s="249"/>
      <c r="G94" s="249"/>
      <c r="H94" s="248"/>
      <c r="I94" s="248"/>
      <c r="J94" s="248"/>
      <c r="K94" s="240"/>
      <c r="N94" s="303"/>
      <c r="O94" s="303"/>
      <c r="P94" s="303"/>
      <c r="Q94" s="303"/>
      <c r="R94" s="303"/>
      <c r="S94" s="303"/>
      <c r="T94" s="303"/>
      <c r="U94" s="303"/>
    </row>
    <row r="95" spans="1:74">
      <c r="B95" s="247" t="s">
        <v>118</v>
      </c>
      <c r="C95" s="468">
        <f>C4</f>
        <v>0</v>
      </c>
      <c r="D95" s="468"/>
      <c r="E95" s="248"/>
      <c r="F95" s="249"/>
      <c r="G95" s="249"/>
      <c r="H95" s="248"/>
      <c r="I95" s="248"/>
      <c r="J95" s="248"/>
      <c r="K95" s="240"/>
      <c r="N95" s="303"/>
      <c r="O95" s="303"/>
      <c r="P95" s="303"/>
      <c r="Q95" s="303"/>
      <c r="R95" s="303"/>
      <c r="S95" s="303"/>
      <c r="T95" s="303"/>
      <c r="U95" s="303"/>
    </row>
    <row r="96" spans="1:74">
      <c r="B96" s="247" t="s">
        <v>119</v>
      </c>
      <c r="C96" s="468">
        <f>C5</f>
        <v>0</v>
      </c>
      <c r="D96" s="468"/>
      <c r="E96" s="248"/>
      <c r="F96" s="249"/>
      <c r="G96" s="249"/>
      <c r="H96" s="248"/>
      <c r="I96" s="248"/>
      <c r="J96" s="248"/>
      <c r="K96" s="240"/>
      <c r="N96" s="303"/>
      <c r="O96" s="303"/>
      <c r="P96" s="303"/>
      <c r="Q96" s="303"/>
      <c r="R96" s="303"/>
      <c r="S96" s="303"/>
      <c r="T96" s="303"/>
      <c r="U96" s="303"/>
    </row>
    <row r="97" spans="1:22">
      <c r="B97" s="254" t="s">
        <v>120</v>
      </c>
      <c r="C97" s="469">
        <f>C6</f>
        <v>0</v>
      </c>
      <c r="D97" s="469"/>
      <c r="E97" s="469"/>
      <c r="F97" s="469"/>
      <c r="G97" s="255"/>
      <c r="H97" s="256"/>
      <c r="I97" s="256"/>
      <c r="J97" s="256"/>
      <c r="K97" s="240"/>
      <c r="N97" s="361"/>
      <c r="O97" s="361"/>
      <c r="P97" s="361"/>
      <c r="Q97" s="361"/>
      <c r="R97" s="361"/>
      <c r="S97" s="361"/>
      <c r="T97" s="361"/>
      <c r="U97" s="361"/>
      <c r="V97" s="324"/>
    </row>
    <row r="98" spans="1:22">
      <c r="B98" s="257"/>
      <c r="C98" s="255"/>
      <c r="D98" s="255"/>
      <c r="E98" s="255"/>
      <c r="F98" s="255"/>
      <c r="G98" s="255"/>
      <c r="H98" s="256"/>
      <c r="I98" s="256"/>
      <c r="J98" s="256"/>
      <c r="K98" s="240"/>
      <c r="N98" s="361"/>
      <c r="O98" s="361"/>
      <c r="P98" s="361"/>
      <c r="Q98" s="361"/>
      <c r="R98" s="361"/>
      <c r="S98" s="361"/>
      <c r="T98" s="361"/>
      <c r="U98" s="361"/>
      <c r="V98" s="324"/>
    </row>
    <row r="99" spans="1:22">
      <c r="B99" s="258"/>
      <c r="C99" s="256"/>
      <c r="D99" s="256"/>
      <c r="E99" s="256"/>
      <c r="F99" s="259"/>
      <c r="G99" s="259"/>
      <c r="H99" s="256"/>
      <c r="I99" s="240"/>
      <c r="J99" s="240"/>
      <c r="K99" s="240"/>
      <c r="N99" s="361"/>
      <c r="O99" s="361"/>
      <c r="P99" s="361"/>
      <c r="Q99" s="361"/>
      <c r="R99" s="361"/>
      <c r="S99" s="361"/>
      <c r="T99" s="361"/>
      <c r="U99" s="361"/>
      <c r="V99" s="324"/>
    </row>
    <row r="100" spans="1:22" ht="18">
      <c r="B100" s="494" t="s">
        <v>160</v>
      </c>
      <c r="C100" s="494"/>
      <c r="D100" s="494"/>
      <c r="E100" s="494"/>
      <c r="F100" s="494"/>
      <c r="G100" s="494"/>
      <c r="H100" s="494"/>
      <c r="I100" s="494"/>
      <c r="J100" s="494"/>
      <c r="K100" s="494"/>
      <c r="N100" s="362"/>
      <c r="O100" s="361"/>
      <c r="P100" s="361"/>
      <c r="Q100" s="363"/>
      <c r="R100" s="361"/>
      <c r="S100" s="361"/>
      <c r="T100" s="361"/>
      <c r="U100" s="361"/>
      <c r="V100" s="324"/>
    </row>
    <row r="101" spans="1:22" ht="15.5">
      <c r="B101" s="261"/>
      <c r="C101" s="261"/>
      <c r="D101" s="261"/>
      <c r="E101" s="261"/>
      <c r="F101" s="261"/>
      <c r="G101" s="261"/>
      <c r="H101" s="261"/>
      <c r="I101" s="261"/>
      <c r="J101" s="261"/>
      <c r="K101" s="261"/>
      <c r="N101" s="362"/>
      <c r="O101" s="361"/>
      <c r="P101" s="361"/>
      <c r="Q101" s="363"/>
      <c r="R101" s="361"/>
      <c r="S101" s="361"/>
      <c r="T101" s="361"/>
      <c r="U101" s="361"/>
      <c r="V101" s="324"/>
    </row>
    <row r="102" spans="1:22" ht="15" customHeight="1">
      <c r="A102" s="280"/>
      <c r="B102" s="364" t="s">
        <v>344</v>
      </c>
      <c r="C102" s="365"/>
      <c r="D102" s="495" t="e">
        <f>CONCATENATE(U6,U13,U15,U17,U19,U21,U23,EXTRA!B2)</f>
        <v>#N/A</v>
      </c>
      <c r="E102" s="495"/>
      <c r="F102" s="495"/>
      <c r="G102" s="495"/>
      <c r="H102" s="495"/>
      <c r="I102" s="495"/>
      <c r="J102" s="495"/>
      <c r="K102" s="495"/>
      <c r="L102" s="280"/>
      <c r="N102" s="361"/>
      <c r="O102" s="361"/>
      <c r="P102" s="361"/>
      <c r="Q102" s="361"/>
      <c r="R102" s="361"/>
      <c r="S102" s="361"/>
      <c r="T102" s="361"/>
      <c r="U102" s="361"/>
      <c r="V102" s="324"/>
    </row>
    <row r="103" spans="1:22">
      <c r="B103" s="258"/>
      <c r="C103" s="256"/>
      <c r="D103" s="495"/>
      <c r="E103" s="495"/>
      <c r="F103" s="495"/>
      <c r="G103" s="495"/>
      <c r="H103" s="495"/>
      <c r="I103" s="495"/>
      <c r="J103" s="495"/>
      <c r="K103" s="495"/>
      <c r="N103" s="361"/>
      <c r="O103" s="361"/>
      <c r="P103" s="361"/>
      <c r="Q103" s="361"/>
      <c r="R103" s="361"/>
      <c r="S103" s="361"/>
      <c r="T103" s="361"/>
      <c r="U103" s="361"/>
      <c r="V103" s="324"/>
    </row>
    <row r="104" spans="1:22">
      <c r="B104" s="258"/>
      <c r="C104" s="256"/>
      <c r="D104" s="495"/>
      <c r="E104" s="495"/>
      <c r="F104" s="495"/>
      <c r="G104" s="495"/>
      <c r="H104" s="495"/>
      <c r="I104" s="495"/>
      <c r="J104" s="495"/>
      <c r="K104" s="495"/>
      <c r="N104" s="361"/>
      <c r="O104" s="361"/>
      <c r="P104" s="361"/>
      <c r="Q104" s="361"/>
      <c r="R104" s="361"/>
      <c r="S104" s="361"/>
      <c r="T104" s="361"/>
      <c r="U104" s="361"/>
      <c r="V104" s="324"/>
    </row>
    <row r="105" spans="1:22">
      <c r="B105" s="258"/>
      <c r="C105" s="256"/>
      <c r="D105" s="495"/>
      <c r="E105" s="495"/>
      <c r="F105" s="495"/>
      <c r="G105" s="495"/>
      <c r="H105" s="495"/>
      <c r="I105" s="495"/>
      <c r="J105" s="495"/>
      <c r="K105" s="495"/>
      <c r="N105" s="361"/>
      <c r="O105" s="361"/>
      <c r="P105" s="361"/>
      <c r="Q105" s="361"/>
      <c r="R105" s="361"/>
      <c r="S105" s="361"/>
      <c r="T105" s="361"/>
      <c r="U105" s="361"/>
      <c r="V105" s="324"/>
    </row>
    <row r="106" spans="1:22">
      <c r="B106" s="478"/>
      <c r="C106" s="256"/>
      <c r="D106" s="495"/>
      <c r="E106" s="495"/>
      <c r="F106" s="495"/>
      <c r="G106" s="495"/>
      <c r="H106" s="495"/>
      <c r="I106" s="495"/>
      <c r="J106" s="495"/>
      <c r="K106" s="495"/>
      <c r="N106" s="361"/>
      <c r="O106" s="361"/>
      <c r="P106" s="361"/>
      <c r="Q106" s="361"/>
      <c r="R106" s="361"/>
      <c r="S106" s="361"/>
      <c r="T106" s="361"/>
      <c r="U106" s="361"/>
      <c r="V106" s="324"/>
    </row>
    <row r="107" spans="1:22">
      <c r="B107" s="478"/>
      <c r="C107" s="256"/>
      <c r="D107" s="495"/>
      <c r="E107" s="495"/>
      <c r="F107" s="495"/>
      <c r="G107" s="495"/>
      <c r="H107" s="495"/>
      <c r="I107" s="495"/>
      <c r="J107" s="495"/>
      <c r="K107" s="495"/>
      <c r="N107" s="361"/>
      <c r="O107" s="361"/>
      <c r="P107" s="361"/>
      <c r="Q107" s="361"/>
      <c r="R107" s="361"/>
      <c r="S107" s="361"/>
      <c r="T107" s="361"/>
      <c r="U107" s="361"/>
      <c r="V107" s="324"/>
    </row>
    <row r="108" spans="1:22">
      <c r="B108" s="478"/>
      <c r="C108" s="256"/>
      <c r="D108" s="495"/>
      <c r="E108" s="495"/>
      <c r="F108" s="495"/>
      <c r="G108" s="495"/>
      <c r="H108" s="495"/>
      <c r="I108" s="495"/>
      <c r="J108" s="495"/>
      <c r="K108" s="495"/>
      <c r="N108" s="361"/>
      <c r="O108" s="361"/>
      <c r="P108" s="361"/>
      <c r="Q108" s="361"/>
      <c r="R108" s="361"/>
      <c r="S108" s="361"/>
      <c r="T108" s="361"/>
      <c r="U108" s="361"/>
      <c r="V108" s="324"/>
    </row>
    <row r="109" spans="1:22">
      <c r="B109" s="478"/>
      <c r="C109" s="256"/>
      <c r="D109" s="495"/>
      <c r="E109" s="495"/>
      <c r="F109" s="495"/>
      <c r="G109" s="495"/>
      <c r="H109" s="495"/>
      <c r="I109" s="495"/>
      <c r="J109" s="495"/>
      <c r="K109" s="495"/>
      <c r="N109" s="361"/>
      <c r="O109" s="361"/>
      <c r="P109" s="361"/>
      <c r="Q109" s="361"/>
      <c r="R109" s="361"/>
      <c r="S109" s="361"/>
      <c r="T109" s="361"/>
      <c r="U109" s="361"/>
      <c r="V109" s="324"/>
    </row>
    <row r="110" spans="1:22">
      <c r="B110" s="292"/>
      <c r="C110" s="270"/>
      <c r="D110" s="495"/>
      <c r="E110" s="495"/>
      <c r="F110" s="495"/>
      <c r="G110" s="495"/>
      <c r="H110" s="495"/>
      <c r="I110" s="495"/>
      <c r="J110" s="495"/>
      <c r="K110" s="495"/>
      <c r="N110" s="361"/>
      <c r="O110" s="361"/>
      <c r="P110" s="361"/>
      <c r="Q110" s="361"/>
      <c r="R110" s="361"/>
      <c r="S110" s="361"/>
      <c r="T110" s="361"/>
      <c r="U110" s="361"/>
      <c r="V110" s="324"/>
    </row>
    <row r="111" spans="1:22">
      <c r="B111" s="270"/>
      <c r="C111" s="256"/>
      <c r="D111" s="495"/>
      <c r="E111" s="495"/>
      <c r="F111" s="495"/>
      <c r="G111" s="495"/>
      <c r="H111" s="495"/>
      <c r="I111" s="495"/>
      <c r="J111" s="495"/>
      <c r="K111" s="495"/>
      <c r="N111" s="303"/>
      <c r="O111" s="303"/>
      <c r="P111" s="303"/>
      <c r="Q111" s="303"/>
      <c r="R111" s="303"/>
      <c r="S111" s="303"/>
      <c r="T111" s="303"/>
      <c r="U111" s="303"/>
    </row>
    <row r="112" spans="1:22">
      <c r="B112" s="258"/>
      <c r="C112" s="256"/>
      <c r="D112" s="495"/>
      <c r="E112" s="495"/>
      <c r="F112" s="495"/>
      <c r="G112" s="495"/>
      <c r="H112" s="495"/>
      <c r="I112" s="495"/>
      <c r="J112" s="495"/>
      <c r="K112" s="495"/>
      <c r="N112" s="303"/>
      <c r="O112" s="303"/>
      <c r="P112" s="303"/>
      <c r="Q112" s="303"/>
      <c r="R112" s="303"/>
      <c r="S112" s="303"/>
      <c r="T112" s="303"/>
      <c r="U112" s="303"/>
    </row>
    <row r="113" spans="1:21">
      <c r="B113" s="258"/>
      <c r="C113" s="256"/>
      <c r="D113" s="495"/>
      <c r="E113" s="495"/>
      <c r="F113" s="495"/>
      <c r="G113" s="495"/>
      <c r="H113" s="495"/>
      <c r="I113" s="495"/>
      <c r="J113" s="495"/>
      <c r="K113" s="495"/>
      <c r="N113" s="303"/>
      <c r="O113" s="303"/>
      <c r="P113" s="303"/>
      <c r="Q113" s="303"/>
      <c r="R113" s="303"/>
      <c r="S113" s="303"/>
      <c r="T113" s="303"/>
      <c r="U113" s="303"/>
    </row>
    <row r="114" spans="1:21">
      <c r="B114" s="258"/>
      <c r="C114" s="258"/>
      <c r="D114" s="495"/>
      <c r="E114" s="495"/>
      <c r="F114" s="495"/>
      <c r="G114" s="495"/>
      <c r="H114" s="495"/>
      <c r="I114" s="495"/>
      <c r="J114" s="495"/>
      <c r="K114" s="495"/>
      <c r="N114" s="303"/>
      <c r="O114" s="303"/>
      <c r="P114" s="303"/>
      <c r="Q114" s="303"/>
      <c r="R114" s="303"/>
      <c r="S114" s="303"/>
      <c r="T114" s="303"/>
      <c r="U114" s="303"/>
    </row>
    <row r="115" spans="1:21">
      <c r="B115" s="258"/>
      <c r="C115" s="256"/>
      <c r="D115" s="495"/>
      <c r="E115" s="495"/>
      <c r="F115" s="495"/>
      <c r="G115" s="495"/>
      <c r="H115" s="495"/>
      <c r="I115" s="495"/>
      <c r="J115" s="495"/>
      <c r="K115" s="495"/>
      <c r="N115" s="303"/>
      <c r="O115" s="303"/>
      <c r="P115" s="303"/>
      <c r="Q115" s="303"/>
      <c r="R115" s="303"/>
      <c r="S115" s="303"/>
      <c r="T115" s="303"/>
      <c r="U115" s="303"/>
    </row>
    <row r="116" spans="1:21">
      <c r="B116" s="256"/>
      <c r="C116" s="256"/>
      <c r="D116" s="495"/>
      <c r="E116" s="495"/>
      <c r="F116" s="495"/>
      <c r="G116" s="495"/>
      <c r="H116" s="495"/>
      <c r="I116" s="495"/>
      <c r="J116" s="495"/>
      <c r="K116" s="495"/>
      <c r="N116" s="303"/>
      <c r="O116" s="303"/>
      <c r="P116" s="303"/>
      <c r="Q116" s="303"/>
      <c r="R116" s="303"/>
      <c r="S116" s="303"/>
      <c r="T116" s="303"/>
      <c r="U116" s="303"/>
    </row>
    <row r="117" spans="1:21">
      <c r="B117" s="258"/>
      <c r="C117" s="256"/>
      <c r="D117" s="495"/>
      <c r="E117" s="495"/>
      <c r="F117" s="495"/>
      <c r="G117" s="495"/>
      <c r="H117" s="495"/>
      <c r="I117" s="495"/>
      <c r="J117" s="495"/>
      <c r="K117" s="495"/>
      <c r="N117" s="303"/>
      <c r="O117" s="303"/>
      <c r="P117" s="303"/>
      <c r="Q117" s="303"/>
      <c r="R117" s="303"/>
      <c r="S117" s="303"/>
      <c r="T117" s="303"/>
      <c r="U117" s="303"/>
    </row>
    <row r="118" spans="1:21">
      <c r="B118" s="258"/>
      <c r="C118" s="256"/>
      <c r="D118" s="495"/>
      <c r="E118" s="495"/>
      <c r="F118" s="495"/>
      <c r="G118" s="495"/>
      <c r="H118" s="495"/>
      <c r="I118" s="495"/>
      <c r="J118" s="495"/>
      <c r="K118" s="495"/>
      <c r="N118" s="303"/>
      <c r="O118" s="303"/>
      <c r="P118" s="303"/>
      <c r="Q118" s="303"/>
      <c r="R118" s="303"/>
      <c r="S118" s="303"/>
      <c r="T118" s="303"/>
      <c r="U118" s="303"/>
    </row>
    <row r="119" spans="1:21">
      <c r="B119" s="258"/>
      <c r="C119" s="256"/>
      <c r="D119" s="495"/>
      <c r="E119" s="495"/>
      <c r="F119" s="495"/>
      <c r="G119" s="495"/>
      <c r="H119" s="495"/>
      <c r="I119" s="495"/>
      <c r="J119" s="495"/>
      <c r="K119" s="495"/>
      <c r="N119" s="303"/>
      <c r="O119" s="303"/>
      <c r="P119" s="303"/>
      <c r="Q119" s="303"/>
      <c r="R119" s="303"/>
      <c r="S119" s="303"/>
      <c r="T119" s="303"/>
      <c r="U119" s="303"/>
    </row>
    <row r="120" spans="1:21">
      <c r="B120" s="366"/>
      <c r="C120" s="270"/>
      <c r="D120" s="495"/>
      <c r="E120" s="495"/>
      <c r="F120" s="495"/>
      <c r="G120" s="495"/>
      <c r="H120" s="495"/>
      <c r="I120" s="495"/>
      <c r="J120" s="495"/>
      <c r="K120" s="495"/>
      <c r="N120" s="303"/>
      <c r="O120" s="303"/>
      <c r="P120" s="303"/>
      <c r="Q120" s="303"/>
      <c r="R120" s="303"/>
      <c r="S120" s="303"/>
      <c r="T120" s="303"/>
      <c r="U120" s="303"/>
    </row>
    <row r="121" spans="1:21">
      <c r="A121" s="258"/>
      <c r="B121" s="270"/>
      <c r="C121" s="270"/>
      <c r="D121" s="495"/>
      <c r="E121" s="495"/>
      <c r="F121" s="495"/>
      <c r="G121" s="495"/>
      <c r="H121" s="495"/>
      <c r="I121" s="495"/>
      <c r="J121" s="495"/>
      <c r="K121" s="495"/>
      <c r="L121" s="258"/>
      <c r="N121" s="303"/>
      <c r="O121" s="303"/>
      <c r="P121" s="303"/>
      <c r="Q121" s="303"/>
      <c r="R121" s="303"/>
      <c r="S121" s="303"/>
      <c r="T121" s="303"/>
      <c r="U121" s="303"/>
    </row>
    <row r="122" spans="1:21">
      <c r="A122" s="258"/>
      <c r="B122" s="366"/>
      <c r="C122" s="256"/>
      <c r="D122" s="495"/>
      <c r="E122" s="495"/>
      <c r="F122" s="495"/>
      <c r="G122" s="495"/>
      <c r="H122" s="495"/>
      <c r="I122" s="495"/>
      <c r="J122" s="495"/>
      <c r="K122" s="495"/>
      <c r="L122" s="258"/>
      <c r="N122" s="303"/>
      <c r="O122" s="303"/>
      <c r="P122" s="303"/>
      <c r="Q122" s="303"/>
      <c r="R122" s="303"/>
      <c r="S122" s="303"/>
      <c r="T122" s="303"/>
      <c r="U122" s="303"/>
    </row>
    <row r="123" spans="1:21">
      <c r="A123" s="258"/>
      <c r="B123" s="366"/>
      <c r="C123" s="256"/>
      <c r="D123" s="495"/>
      <c r="E123" s="495"/>
      <c r="F123" s="495"/>
      <c r="G123" s="495"/>
      <c r="H123" s="495"/>
      <c r="I123" s="495"/>
      <c r="J123" s="495"/>
      <c r="K123" s="495"/>
      <c r="L123" s="258"/>
      <c r="N123" s="303"/>
      <c r="O123" s="303"/>
      <c r="P123" s="303"/>
      <c r="Q123" s="303"/>
      <c r="R123" s="303"/>
      <c r="S123" s="303"/>
      <c r="T123" s="303"/>
      <c r="U123" s="303"/>
    </row>
    <row r="124" spans="1:21">
      <c r="A124" s="258"/>
      <c r="B124" s="366"/>
      <c r="C124" s="256"/>
      <c r="D124" s="495"/>
      <c r="E124" s="495"/>
      <c r="F124" s="495"/>
      <c r="G124" s="495"/>
      <c r="H124" s="495"/>
      <c r="I124" s="495"/>
      <c r="J124" s="495"/>
      <c r="K124" s="495"/>
      <c r="L124" s="258"/>
      <c r="N124" s="303"/>
      <c r="O124" s="303"/>
      <c r="P124" s="303"/>
      <c r="Q124" s="303"/>
      <c r="R124" s="303"/>
      <c r="S124" s="303"/>
      <c r="T124" s="303"/>
      <c r="U124" s="303"/>
    </row>
    <row r="125" spans="1:21">
      <c r="A125" s="258"/>
      <c r="B125" s="366"/>
      <c r="C125" s="256"/>
      <c r="D125" s="495"/>
      <c r="E125" s="495"/>
      <c r="F125" s="495"/>
      <c r="G125" s="495"/>
      <c r="H125" s="495"/>
      <c r="I125" s="495"/>
      <c r="J125" s="495"/>
      <c r="K125" s="495"/>
      <c r="L125" s="258"/>
      <c r="N125" s="303"/>
      <c r="O125" s="303"/>
      <c r="P125" s="303"/>
      <c r="Q125" s="303"/>
      <c r="R125" s="303"/>
      <c r="S125" s="303"/>
      <c r="T125" s="303"/>
      <c r="U125" s="303"/>
    </row>
    <row r="126" spans="1:21">
      <c r="A126" s="258"/>
      <c r="B126" s="366"/>
      <c r="C126" s="256"/>
      <c r="D126" s="495"/>
      <c r="E126" s="495"/>
      <c r="F126" s="495"/>
      <c r="G126" s="495"/>
      <c r="H126" s="495"/>
      <c r="I126" s="495"/>
      <c r="J126" s="495"/>
      <c r="K126" s="495"/>
      <c r="L126" s="258"/>
      <c r="N126" s="303"/>
      <c r="O126" s="303"/>
      <c r="P126" s="303"/>
      <c r="Q126" s="303"/>
      <c r="R126" s="303"/>
      <c r="S126" s="303"/>
      <c r="T126" s="303"/>
      <c r="U126" s="303"/>
    </row>
    <row r="127" spans="1:21">
      <c r="A127" s="258"/>
      <c r="B127" s="366"/>
      <c r="C127" s="256"/>
      <c r="D127" s="495"/>
      <c r="E127" s="495"/>
      <c r="F127" s="495"/>
      <c r="G127" s="495"/>
      <c r="H127" s="495"/>
      <c r="I127" s="495"/>
      <c r="J127" s="495"/>
      <c r="K127" s="495"/>
      <c r="L127" s="258"/>
      <c r="N127" s="303"/>
      <c r="O127" s="303"/>
      <c r="P127" s="303"/>
      <c r="Q127" s="303"/>
      <c r="R127" s="303"/>
      <c r="S127" s="303"/>
      <c r="T127" s="303"/>
      <c r="U127" s="303"/>
    </row>
    <row r="128" spans="1:21">
      <c r="A128" s="258"/>
      <c r="B128" s="366"/>
      <c r="C128" s="256"/>
      <c r="D128" s="495"/>
      <c r="E128" s="495"/>
      <c r="F128" s="495"/>
      <c r="G128" s="495"/>
      <c r="H128" s="495"/>
      <c r="I128" s="495"/>
      <c r="J128" s="495"/>
      <c r="K128" s="495"/>
      <c r="L128" s="258"/>
      <c r="N128" s="303"/>
      <c r="O128" s="303"/>
      <c r="P128" s="303"/>
      <c r="Q128" s="303"/>
      <c r="R128" s="303"/>
      <c r="S128" s="303"/>
      <c r="T128" s="303"/>
      <c r="U128" s="303"/>
    </row>
    <row r="129" spans="1:21">
      <c r="B129" s="366"/>
      <c r="C129" s="256"/>
      <c r="D129" s="495"/>
      <c r="E129" s="495"/>
      <c r="F129" s="495"/>
      <c r="G129" s="495"/>
      <c r="H129" s="495"/>
      <c r="I129" s="495"/>
      <c r="J129" s="495"/>
      <c r="K129" s="495"/>
      <c r="N129" s="303"/>
      <c r="O129" s="303"/>
      <c r="P129" s="303"/>
      <c r="Q129" s="303"/>
      <c r="R129" s="303"/>
      <c r="S129" s="303"/>
      <c r="T129" s="303"/>
      <c r="U129" s="303"/>
    </row>
    <row r="130" spans="1:21">
      <c r="A130" s="258"/>
      <c r="B130" s="258"/>
      <c r="C130" s="256"/>
      <c r="D130" s="256"/>
      <c r="E130" s="270"/>
      <c r="F130" s="293"/>
      <c r="G130" s="293"/>
      <c r="H130" s="479"/>
      <c r="I130" s="479"/>
      <c r="J130" s="479"/>
      <c r="K130" s="413"/>
      <c r="L130" s="258"/>
      <c r="N130" s="303"/>
      <c r="O130" s="303"/>
      <c r="P130" s="303"/>
      <c r="Q130" s="303"/>
      <c r="R130" s="303"/>
      <c r="S130" s="303"/>
      <c r="T130" s="303"/>
      <c r="U130" s="303"/>
    </row>
    <row r="131" spans="1:21">
      <c r="B131" s="240"/>
      <c r="C131" s="240"/>
      <c r="D131" s="240"/>
      <c r="E131" s="242"/>
      <c r="F131" s="243"/>
      <c r="G131" s="243"/>
      <c r="H131" s="240"/>
      <c r="I131" s="240"/>
      <c r="J131" s="240"/>
      <c r="K131" s="240"/>
      <c r="N131" s="303"/>
      <c r="O131" s="303"/>
      <c r="P131" s="303"/>
      <c r="Q131" s="303"/>
      <c r="R131" s="303"/>
      <c r="S131" s="303"/>
      <c r="T131" s="303"/>
      <c r="U131" s="303"/>
    </row>
    <row r="132" spans="1:21">
      <c r="C132" s="240"/>
      <c r="D132" s="414" t="str">
        <f>IF(K50=0,"","ZÓCALO")</f>
        <v/>
      </c>
      <c r="E132" s="242"/>
      <c r="F132" s="243"/>
      <c r="G132" s="243"/>
      <c r="H132" s="240"/>
      <c r="I132" s="240"/>
      <c r="J132" s="240"/>
      <c r="K132" s="244"/>
      <c r="N132" s="303"/>
      <c r="O132" s="303"/>
      <c r="P132" s="303"/>
      <c r="Q132" s="303"/>
      <c r="R132" s="303"/>
      <c r="S132" s="303"/>
      <c r="T132" s="303"/>
      <c r="U132" s="303"/>
    </row>
    <row r="133" spans="1:21">
      <c r="B133" s="240"/>
      <c r="C133" s="240"/>
      <c r="E133" s="242"/>
      <c r="F133" s="243"/>
      <c r="G133" s="243"/>
      <c r="H133" s="240"/>
      <c r="I133" s="240"/>
      <c r="J133" s="240"/>
      <c r="K133" s="244"/>
      <c r="N133" s="303"/>
      <c r="O133" s="303"/>
      <c r="P133" s="303"/>
      <c r="Q133" s="303"/>
      <c r="R133" s="303"/>
      <c r="S133" s="303"/>
      <c r="T133" s="303"/>
      <c r="U133" s="303"/>
    </row>
    <row r="134" spans="1:21" ht="15" customHeight="1">
      <c r="B134" s="368"/>
      <c r="C134" s="368"/>
      <c r="D134" s="486" t="str">
        <f>IF(K50=0,"",CONCATENATE(U38,#REF!,#REF!,U42,U41,U43,U44))</f>
        <v/>
      </c>
      <c r="E134" s="486"/>
      <c r="F134" s="486"/>
      <c r="G134" s="486"/>
      <c r="H134" s="486"/>
      <c r="I134" s="486"/>
      <c r="J134" s="486"/>
      <c r="K134" s="486"/>
      <c r="N134" s="303"/>
      <c r="O134" s="303"/>
      <c r="P134" s="303"/>
      <c r="Q134" s="303"/>
      <c r="R134" s="303"/>
      <c r="S134" s="303"/>
      <c r="T134" s="303"/>
      <c r="U134" s="303"/>
    </row>
    <row r="135" spans="1:21">
      <c r="B135" s="368"/>
      <c r="C135" s="368"/>
      <c r="D135" s="486"/>
      <c r="E135" s="486"/>
      <c r="F135" s="486"/>
      <c r="G135" s="486"/>
      <c r="H135" s="486"/>
      <c r="I135" s="486"/>
      <c r="J135" s="486"/>
      <c r="K135" s="486"/>
      <c r="N135" s="303"/>
      <c r="O135" s="303"/>
      <c r="P135" s="303"/>
      <c r="Q135" s="303"/>
      <c r="R135" s="303"/>
      <c r="S135" s="303"/>
      <c r="T135" s="303"/>
      <c r="U135" s="303"/>
    </row>
    <row r="136" spans="1:21">
      <c r="B136" s="368"/>
      <c r="C136" s="368"/>
      <c r="D136" s="486"/>
      <c r="E136" s="486"/>
      <c r="F136" s="486"/>
      <c r="G136" s="486"/>
      <c r="H136" s="486"/>
      <c r="I136" s="486"/>
      <c r="J136" s="486"/>
      <c r="K136" s="486"/>
      <c r="N136" s="303"/>
      <c r="O136" s="303"/>
      <c r="P136" s="303"/>
      <c r="Q136" s="303"/>
      <c r="R136" s="303"/>
      <c r="S136" s="303"/>
      <c r="T136" s="303"/>
      <c r="U136" s="303"/>
    </row>
    <row r="137" spans="1:21">
      <c r="B137" s="368"/>
      <c r="C137" s="368"/>
      <c r="D137" s="486"/>
      <c r="E137" s="486"/>
      <c r="F137" s="486"/>
      <c r="G137" s="486"/>
      <c r="H137" s="486"/>
      <c r="I137" s="486"/>
      <c r="J137" s="486"/>
      <c r="K137" s="486"/>
      <c r="N137" s="303"/>
      <c r="O137" s="303"/>
      <c r="P137" s="303"/>
      <c r="Q137" s="303"/>
      <c r="R137" s="303"/>
      <c r="S137" s="303"/>
      <c r="T137" s="303"/>
      <c r="U137" s="303"/>
    </row>
    <row r="138" spans="1:21">
      <c r="B138" s="368"/>
      <c r="C138" s="368"/>
      <c r="D138" s="486"/>
      <c r="E138" s="486"/>
      <c r="F138" s="486"/>
      <c r="G138" s="486"/>
      <c r="H138" s="486"/>
      <c r="I138" s="486"/>
      <c r="J138" s="486"/>
      <c r="K138" s="486"/>
      <c r="N138" s="303"/>
      <c r="O138" s="303"/>
      <c r="P138" s="303"/>
      <c r="Q138" s="303"/>
      <c r="R138" s="303"/>
      <c r="S138" s="303"/>
      <c r="T138" s="303"/>
      <c r="U138" s="303"/>
    </row>
    <row r="139" spans="1:21">
      <c r="B139" s="368"/>
      <c r="C139" s="368"/>
      <c r="D139" s="486"/>
      <c r="E139" s="486"/>
      <c r="F139" s="486"/>
      <c r="G139" s="486"/>
      <c r="H139" s="486"/>
      <c r="I139" s="486"/>
      <c r="J139" s="486"/>
      <c r="K139" s="486"/>
      <c r="N139" s="303"/>
      <c r="O139" s="303"/>
      <c r="P139" s="303"/>
      <c r="Q139" s="303"/>
      <c r="R139" s="303"/>
      <c r="S139" s="303"/>
      <c r="T139" s="303"/>
      <c r="U139" s="303"/>
    </row>
    <row r="140" spans="1:21">
      <c r="B140" s="368"/>
      <c r="C140" s="368"/>
      <c r="D140" s="486"/>
      <c r="E140" s="486"/>
      <c r="F140" s="486"/>
      <c r="G140" s="486"/>
      <c r="H140" s="486"/>
      <c r="I140" s="486"/>
      <c r="J140" s="486"/>
      <c r="K140" s="486"/>
      <c r="N140" s="303"/>
      <c r="O140" s="303"/>
      <c r="P140" s="303"/>
      <c r="Q140" s="303"/>
      <c r="R140" s="303"/>
      <c r="S140" s="303"/>
      <c r="T140" s="303"/>
      <c r="U140" s="303"/>
    </row>
    <row r="141" spans="1:21">
      <c r="B141" s="368"/>
      <c r="C141" s="368"/>
      <c r="D141" s="486"/>
      <c r="E141" s="486"/>
      <c r="F141" s="486"/>
      <c r="G141" s="486"/>
      <c r="H141" s="486"/>
      <c r="I141" s="486"/>
      <c r="J141" s="486"/>
      <c r="K141" s="486"/>
      <c r="N141" s="303"/>
      <c r="O141" s="303"/>
      <c r="P141" s="303"/>
      <c r="Q141" s="303"/>
      <c r="R141" s="303"/>
      <c r="S141" s="303"/>
      <c r="T141" s="303"/>
      <c r="U141" s="303"/>
    </row>
    <row r="142" spans="1:21">
      <c r="B142" s="368"/>
      <c r="C142" s="368"/>
      <c r="D142" s="486"/>
      <c r="E142" s="486"/>
      <c r="F142" s="486"/>
      <c r="G142" s="486"/>
      <c r="H142" s="486"/>
      <c r="I142" s="486"/>
      <c r="J142" s="486"/>
      <c r="K142" s="486"/>
      <c r="N142" s="303"/>
      <c r="O142" s="303"/>
      <c r="P142" s="303"/>
      <c r="Q142" s="303"/>
      <c r="R142" s="303"/>
      <c r="S142" s="303"/>
      <c r="T142" s="303"/>
      <c r="U142" s="303"/>
    </row>
    <row r="143" spans="1:21">
      <c r="B143" s="368"/>
      <c r="C143" s="368"/>
      <c r="D143" s="486"/>
      <c r="E143" s="486"/>
      <c r="F143" s="486"/>
      <c r="G143" s="486"/>
      <c r="H143" s="486"/>
      <c r="I143" s="486"/>
      <c r="J143" s="486"/>
      <c r="K143" s="486"/>
      <c r="N143" s="303"/>
      <c r="O143" s="303"/>
      <c r="P143" s="303"/>
      <c r="Q143" s="303"/>
      <c r="R143" s="303"/>
      <c r="S143" s="303"/>
      <c r="T143" s="303"/>
      <c r="U143" s="303"/>
    </row>
    <row r="144" spans="1:21">
      <c r="B144" s="328"/>
      <c r="C144" s="328"/>
      <c r="D144" s="486"/>
      <c r="E144" s="486"/>
      <c r="F144" s="486"/>
      <c r="G144" s="486"/>
      <c r="H144" s="486"/>
      <c r="I144" s="486"/>
      <c r="J144" s="486"/>
      <c r="K144" s="486"/>
      <c r="N144" s="303"/>
      <c r="O144" s="303"/>
      <c r="P144" s="303"/>
      <c r="Q144" s="303"/>
      <c r="R144" s="303"/>
      <c r="S144" s="303"/>
      <c r="T144" s="303"/>
      <c r="U144" s="303"/>
    </row>
    <row r="145" spans="2:74">
      <c r="B145" s="328"/>
      <c r="C145" s="328"/>
      <c r="D145" s="486"/>
      <c r="E145" s="486"/>
      <c r="F145" s="486"/>
      <c r="G145" s="486"/>
      <c r="H145" s="486"/>
      <c r="I145" s="486"/>
      <c r="J145" s="486"/>
      <c r="K145" s="486"/>
      <c r="N145" s="303"/>
      <c r="O145" s="303"/>
      <c r="P145" s="303"/>
      <c r="Q145" s="303"/>
      <c r="R145" s="303"/>
      <c r="S145" s="303"/>
      <c r="T145" s="303"/>
      <c r="U145" s="303"/>
    </row>
    <row r="146" spans="2:74">
      <c r="B146" s="328"/>
      <c r="C146" s="328"/>
      <c r="D146" s="486"/>
      <c r="E146" s="486"/>
      <c r="F146" s="486"/>
      <c r="G146" s="486"/>
      <c r="H146" s="486"/>
      <c r="I146" s="486"/>
      <c r="J146" s="486"/>
      <c r="K146" s="486"/>
      <c r="N146" s="303"/>
      <c r="O146" s="303"/>
      <c r="P146" s="303"/>
      <c r="Q146" s="303"/>
      <c r="R146" s="303"/>
      <c r="S146" s="303"/>
      <c r="T146" s="303"/>
      <c r="U146" s="303"/>
    </row>
    <row r="147" spans="2:74">
      <c r="B147" s="328"/>
      <c r="C147" s="328"/>
      <c r="D147" s="486"/>
      <c r="E147" s="486"/>
      <c r="F147" s="486"/>
      <c r="G147" s="486"/>
      <c r="H147" s="486"/>
      <c r="I147" s="486"/>
      <c r="J147" s="486"/>
      <c r="K147" s="486"/>
      <c r="N147" s="303"/>
      <c r="O147" s="303"/>
      <c r="P147" s="303"/>
      <c r="Q147" s="303"/>
      <c r="R147" s="303"/>
      <c r="S147" s="303"/>
      <c r="T147" s="303"/>
      <c r="U147" s="303"/>
    </row>
    <row r="148" spans="2:74">
      <c r="B148" s="328"/>
      <c r="C148" s="328"/>
      <c r="D148" s="486"/>
      <c r="E148" s="486"/>
      <c r="F148" s="486"/>
      <c r="G148" s="486"/>
      <c r="H148" s="486"/>
      <c r="I148" s="486"/>
      <c r="J148" s="486"/>
      <c r="K148" s="486"/>
      <c r="N148" s="303"/>
      <c r="O148" s="303"/>
      <c r="P148" s="303"/>
      <c r="Q148" s="303"/>
      <c r="R148" s="303"/>
      <c r="S148" s="303"/>
      <c r="T148" s="303"/>
      <c r="U148" s="303"/>
    </row>
    <row r="149" spans="2:74">
      <c r="B149" s="328"/>
      <c r="C149" s="328"/>
      <c r="D149" s="486"/>
      <c r="E149" s="486"/>
      <c r="F149" s="486"/>
      <c r="G149" s="486"/>
      <c r="H149" s="486"/>
      <c r="I149" s="486"/>
      <c r="J149" s="486"/>
      <c r="K149" s="486"/>
      <c r="N149" s="303"/>
      <c r="O149" s="303"/>
      <c r="P149" s="303"/>
      <c r="Q149" s="303"/>
      <c r="R149" s="303"/>
      <c r="S149" s="303"/>
      <c r="T149" s="303"/>
      <c r="U149" s="303"/>
    </row>
    <row r="150" spans="2:74">
      <c r="B150" s="328"/>
      <c r="C150" s="328"/>
      <c r="D150" s="486"/>
      <c r="E150" s="486"/>
      <c r="F150" s="486"/>
      <c r="G150" s="486"/>
      <c r="H150" s="486"/>
      <c r="I150" s="486"/>
      <c r="J150" s="486"/>
      <c r="K150" s="486"/>
      <c r="N150" s="303"/>
      <c r="O150" s="303"/>
      <c r="P150" s="303"/>
      <c r="Q150" s="303"/>
      <c r="R150" s="303"/>
      <c r="S150" s="303"/>
      <c r="T150" s="303"/>
      <c r="U150" s="303"/>
    </row>
    <row r="151" spans="2:74">
      <c r="B151" s="328"/>
      <c r="C151" s="328"/>
      <c r="D151" s="486"/>
      <c r="E151" s="486"/>
      <c r="F151" s="486"/>
      <c r="G151" s="486"/>
      <c r="H151" s="486"/>
      <c r="I151" s="486"/>
      <c r="J151" s="486"/>
      <c r="K151" s="486"/>
      <c r="N151" s="303"/>
      <c r="O151" s="303"/>
      <c r="P151" s="303"/>
      <c r="Q151" s="303"/>
      <c r="R151" s="303"/>
      <c r="S151" s="303"/>
      <c r="T151" s="303"/>
      <c r="U151" s="303"/>
    </row>
    <row r="152" spans="2:74">
      <c r="B152" s="328"/>
      <c r="C152" s="328"/>
      <c r="D152" s="486"/>
      <c r="E152" s="486"/>
      <c r="F152" s="486"/>
      <c r="G152" s="486"/>
      <c r="H152" s="486"/>
      <c r="I152" s="486"/>
      <c r="J152" s="486"/>
      <c r="K152" s="486"/>
      <c r="N152" s="303"/>
      <c r="O152" s="303"/>
      <c r="P152" s="303"/>
      <c r="Q152" s="303"/>
      <c r="R152" s="303"/>
      <c r="S152" s="303"/>
      <c r="T152" s="303"/>
      <c r="U152" s="303"/>
    </row>
    <row r="153" spans="2:74">
      <c r="B153" s="328"/>
      <c r="C153" s="328"/>
      <c r="D153" s="486"/>
      <c r="E153" s="486"/>
      <c r="F153" s="486"/>
      <c r="G153" s="486"/>
      <c r="H153" s="486"/>
      <c r="I153" s="486"/>
      <c r="J153" s="486"/>
      <c r="K153" s="486"/>
      <c r="N153" s="303"/>
      <c r="O153" s="303"/>
      <c r="P153" s="303"/>
      <c r="Q153" s="303"/>
      <c r="R153" s="303"/>
      <c r="S153" s="303"/>
      <c r="T153" s="303"/>
      <c r="U153" s="303"/>
    </row>
    <row r="154" spans="2:74">
      <c r="B154" s="328"/>
      <c r="C154" s="328"/>
      <c r="D154" s="486"/>
      <c r="E154" s="486"/>
      <c r="F154" s="486"/>
      <c r="G154" s="486"/>
      <c r="H154" s="486"/>
      <c r="I154" s="486"/>
      <c r="J154" s="486"/>
      <c r="K154" s="486"/>
      <c r="N154" s="303"/>
      <c r="O154" s="303"/>
      <c r="P154" s="303"/>
      <c r="Q154" s="303"/>
      <c r="R154" s="303"/>
      <c r="S154" s="303"/>
      <c r="T154" s="303"/>
      <c r="U154" s="303"/>
    </row>
    <row r="155" spans="2:74">
      <c r="B155" s="328"/>
      <c r="C155" s="328"/>
      <c r="D155" s="486"/>
      <c r="E155" s="486"/>
      <c r="F155" s="486"/>
      <c r="G155" s="486"/>
      <c r="H155" s="486"/>
      <c r="I155" s="486"/>
      <c r="J155" s="486"/>
      <c r="K155" s="486"/>
      <c r="N155" s="303"/>
      <c r="O155" s="303"/>
      <c r="P155" s="303"/>
      <c r="Q155" s="303"/>
      <c r="R155" s="303"/>
      <c r="S155" s="303"/>
      <c r="T155" s="303"/>
      <c r="U155" s="303"/>
    </row>
    <row r="156" spans="2:74">
      <c r="B156" s="328"/>
      <c r="C156" s="328"/>
      <c r="D156" s="486"/>
      <c r="E156" s="486"/>
      <c r="F156" s="486"/>
      <c r="G156" s="486"/>
      <c r="H156" s="486"/>
      <c r="I156" s="486"/>
      <c r="J156" s="486"/>
      <c r="K156" s="486"/>
      <c r="N156" s="303"/>
      <c r="O156" s="303"/>
      <c r="P156" s="303"/>
      <c r="Q156" s="303"/>
      <c r="R156" s="303"/>
      <c r="S156" s="303"/>
      <c r="T156" s="303"/>
      <c r="U156" s="303"/>
    </row>
    <row r="157" spans="2:74">
      <c r="B157" s="328"/>
      <c r="C157" s="328"/>
      <c r="D157" s="486"/>
      <c r="E157" s="486"/>
      <c r="F157" s="486"/>
      <c r="G157" s="486"/>
      <c r="H157" s="486"/>
      <c r="I157" s="486"/>
      <c r="J157" s="486"/>
      <c r="K157" s="486"/>
      <c r="N157" s="303"/>
      <c r="O157" s="303"/>
      <c r="P157" s="303"/>
      <c r="Q157" s="303"/>
      <c r="R157" s="303"/>
      <c r="S157" s="303"/>
      <c r="T157" s="303"/>
      <c r="U157" s="303"/>
    </row>
    <row r="158" spans="2:74">
      <c r="B158" s="328"/>
      <c r="C158" s="328"/>
      <c r="D158" s="369"/>
      <c r="E158" s="369"/>
      <c r="F158" s="369"/>
      <c r="G158" s="369"/>
      <c r="H158" s="369"/>
      <c r="I158" s="369"/>
      <c r="J158" s="369"/>
      <c r="K158" s="369"/>
      <c r="N158" s="303"/>
      <c r="O158" s="303"/>
      <c r="P158" s="303"/>
      <c r="Q158" s="303"/>
      <c r="R158" s="303"/>
      <c r="S158" s="303"/>
      <c r="T158" s="303"/>
      <c r="U158" s="303"/>
    </row>
    <row r="159" spans="2:74">
      <c r="B159" s="240"/>
      <c r="C159" s="240"/>
      <c r="D159" s="240"/>
      <c r="E159" s="242"/>
      <c r="F159" s="243"/>
      <c r="G159" s="243"/>
      <c r="H159" s="240"/>
      <c r="I159" s="240"/>
      <c r="J159" s="240"/>
      <c r="K159" s="240"/>
      <c r="N159" s="303"/>
      <c r="O159" s="303"/>
      <c r="P159" s="303"/>
      <c r="Q159" s="303"/>
      <c r="R159" s="303"/>
      <c r="S159" s="303"/>
      <c r="T159" s="303"/>
      <c r="U159" s="303"/>
    </row>
    <row r="160" spans="2:74" s="240" customFormat="1" ht="3.65" customHeight="1">
      <c r="B160" s="355"/>
      <c r="C160" s="355"/>
      <c r="D160" s="355"/>
      <c r="E160" s="356"/>
      <c r="F160" s="357"/>
      <c r="G160" s="357"/>
      <c r="H160" s="355"/>
      <c r="I160" s="355"/>
      <c r="J160" s="355"/>
      <c r="K160" s="355"/>
      <c r="M160" s="245"/>
      <c r="N160" s="303"/>
      <c r="O160" s="303"/>
      <c r="P160" s="303"/>
      <c r="Q160" s="303"/>
      <c r="R160" s="303"/>
      <c r="S160" s="303"/>
      <c r="T160" s="303"/>
      <c r="U160" s="303"/>
      <c r="V160" s="245"/>
      <c r="W160" s="245"/>
      <c r="X160" s="245"/>
      <c r="Y160" s="245"/>
      <c r="Z160" s="245"/>
      <c r="AA160" s="245"/>
      <c r="AB160" s="245"/>
      <c r="AC160" s="245"/>
      <c r="AD160" s="245"/>
      <c r="AE160" s="245"/>
      <c r="AF160" s="245"/>
      <c r="AG160" s="245"/>
      <c r="AH160" s="324"/>
      <c r="AI160" s="324"/>
      <c r="AJ160" s="324"/>
      <c r="AK160" s="324"/>
      <c r="AL160" s="324"/>
      <c r="AM160" s="324"/>
      <c r="AN160" s="324"/>
      <c r="AO160" s="324"/>
      <c r="AP160" s="324"/>
      <c r="AQ160" s="324"/>
      <c r="AR160" s="324"/>
      <c r="AS160" s="324"/>
      <c r="AT160" s="324"/>
      <c r="AU160" s="324"/>
      <c r="AV160" s="324"/>
      <c r="AW160" s="324"/>
      <c r="AX160" s="324"/>
      <c r="AY160" s="324"/>
      <c r="AZ160" s="324"/>
      <c r="BA160" s="324"/>
      <c r="BB160" s="324"/>
      <c r="BC160" s="324"/>
      <c r="BD160" s="324"/>
      <c r="BE160" s="324"/>
      <c r="BF160" s="324"/>
      <c r="BG160" s="324"/>
      <c r="BH160" s="324"/>
      <c r="BI160" s="324"/>
      <c r="BJ160" s="324"/>
      <c r="BK160" s="324"/>
      <c r="BL160" s="324"/>
      <c r="BM160" s="324"/>
      <c r="BN160" s="324"/>
      <c r="BO160" s="324"/>
      <c r="BP160" s="324"/>
      <c r="BQ160" s="324"/>
      <c r="BR160" s="324"/>
      <c r="BS160" s="324"/>
      <c r="BT160" s="324"/>
      <c r="BU160" s="324"/>
      <c r="BV160" s="324"/>
    </row>
    <row r="161" spans="1:22" ht="3" customHeight="1">
      <c r="B161" s="240"/>
      <c r="C161" s="240"/>
      <c r="D161" s="240"/>
      <c r="E161" s="242"/>
      <c r="F161" s="243"/>
      <c r="G161" s="243"/>
      <c r="H161" s="240"/>
      <c r="I161" s="240"/>
      <c r="J161" s="240"/>
      <c r="K161" s="240"/>
      <c r="N161" s="303"/>
      <c r="O161" s="303"/>
      <c r="P161" s="303"/>
      <c r="Q161" s="303"/>
      <c r="R161" s="303"/>
      <c r="S161" s="303"/>
      <c r="T161" s="303"/>
      <c r="U161" s="303"/>
    </row>
    <row r="162" spans="1:22" ht="14.5" customHeight="1">
      <c r="B162" s="484" t="s">
        <v>307</v>
      </c>
      <c r="C162" s="484"/>
      <c r="D162" s="484"/>
      <c r="E162" s="484"/>
      <c r="F162" s="484"/>
      <c r="G162" s="484"/>
      <c r="H162" s="484"/>
      <c r="I162" s="484"/>
      <c r="J162" s="484"/>
      <c r="K162" s="484"/>
      <c r="N162" s="303"/>
      <c r="O162" s="303"/>
      <c r="P162" s="303"/>
      <c r="Q162" s="303"/>
      <c r="R162" s="303"/>
      <c r="S162" s="303"/>
      <c r="T162" s="303"/>
      <c r="U162" s="303"/>
    </row>
    <row r="163" spans="1:22">
      <c r="B163" s="484"/>
      <c r="C163" s="484"/>
      <c r="D163" s="484"/>
      <c r="E163" s="484"/>
      <c r="F163" s="484"/>
      <c r="G163" s="484"/>
      <c r="H163" s="484"/>
      <c r="I163" s="484"/>
      <c r="J163" s="484"/>
      <c r="K163" s="484"/>
      <c r="N163" s="303"/>
      <c r="O163" s="303"/>
      <c r="P163" s="303"/>
      <c r="Q163" s="303"/>
      <c r="R163" s="303"/>
      <c r="S163" s="303"/>
      <c r="T163" s="303"/>
      <c r="U163" s="303"/>
    </row>
    <row r="164" spans="1:22" ht="14.5" customHeight="1">
      <c r="B164" s="484"/>
      <c r="C164" s="484"/>
      <c r="D164" s="484"/>
      <c r="E164" s="484"/>
      <c r="F164" s="484"/>
      <c r="G164" s="484"/>
      <c r="H164" s="484"/>
      <c r="I164" s="484"/>
      <c r="J164" s="484"/>
      <c r="K164" s="484"/>
      <c r="N164" s="303"/>
      <c r="O164" s="303"/>
      <c r="P164" s="303"/>
      <c r="Q164" s="303"/>
      <c r="R164" s="303"/>
      <c r="S164" s="303"/>
      <c r="T164" s="303"/>
      <c r="U164" s="303"/>
    </row>
    <row r="165" spans="1:22">
      <c r="B165" s="484"/>
      <c r="C165" s="484"/>
      <c r="D165" s="484"/>
      <c r="E165" s="484"/>
      <c r="F165" s="484"/>
      <c r="G165" s="484"/>
      <c r="H165" s="484"/>
      <c r="I165" s="484"/>
      <c r="J165" s="484"/>
      <c r="K165" s="484"/>
      <c r="N165" s="303"/>
      <c r="O165" s="303"/>
      <c r="P165" s="303"/>
      <c r="Q165" s="303"/>
      <c r="R165" s="303"/>
      <c r="S165" s="303"/>
      <c r="T165" s="303"/>
      <c r="U165" s="303"/>
    </row>
    <row r="166" spans="1:22">
      <c r="A166" s="245"/>
      <c r="B166" s="245"/>
      <c r="C166" s="245"/>
      <c r="D166" s="245"/>
      <c r="E166" s="246"/>
      <c r="F166" s="359"/>
      <c r="G166" s="359"/>
      <c r="H166" s="245"/>
      <c r="I166" s="245"/>
      <c r="J166" s="245"/>
      <c r="K166" s="245"/>
      <c r="L166" s="245"/>
      <c r="N166" s="303"/>
      <c r="O166" s="303"/>
      <c r="P166" s="303"/>
      <c r="Q166" s="303"/>
      <c r="R166" s="303"/>
      <c r="S166" s="303"/>
      <c r="T166" s="303"/>
      <c r="U166" s="303"/>
    </row>
    <row r="167" spans="1:22" ht="15.5">
      <c r="B167" s="241"/>
      <c r="C167" s="240"/>
      <c r="D167" s="240"/>
      <c r="E167" s="242"/>
      <c r="F167" s="243"/>
      <c r="G167" s="243"/>
      <c r="H167" s="240"/>
      <c r="I167" s="240"/>
      <c r="J167" s="240"/>
      <c r="K167" s="240"/>
      <c r="N167" s="303"/>
      <c r="O167" s="303"/>
      <c r="P167" s="303"/>
      <c r="Q167" s="303"/>
      <c r="R167" s="303"/>
      <c r="S167" s="303"/>
      <c r="T167" s="303"/>
      <c r="U167" s="303"/>
    </row>
    <row r="168" spans="1:22">
      <c r="B168" s="240"/>
      <c r="C168" s="240"/>
      <c r="D168" s="240"/>
      <c r="E168" s="242"/>
      <c r="F168" s="243"/>
      <c r="G168" s="243"/>
      <c r="H168" s="240"/>
      <c r="I168" s="240"/>
      <c r="J168" s="240"/>
      <c r="K168" s="240"/>
      <c r="N168" s="303"/>
      <c r="O168" s="303"/>
      <c r="P168" s="303"/>
      <c r="Q168" s="303"/>
      <c r="R168" s="303"/>
      <c r="S168" s="303"/>
      <c r="T168" s="303"/>
      <c r="U168" s="303"/>
    </row>
    <row r="169" spans="1:22">
      <c r="B169" s="247" t="s">
        <v>117</v>
      </c>
      <c r="C169" s="467">
        <f ca="1">TODAY()</f>
        <v>45701</v>
      </c>
      <c r="D169" s="467"/>
      <c r="E169" s="248"/>
      <c r="F169" s="249"/>
      <c r="G169" s="249"/>
      <c r="H169" s="248"/>
      <c r="I169" s="248"/>
      <c r="J169" s="248"/>
      <c r="K169" s="240"/>
      <c r="N169" s="303"/>
      <c r="O169" s="303"/>
      <c r="P169" s="303"/>
      <c r="Q169" s="303"/>
      <c r="R169" s="303"/>
      <c r="S169" s="303"/>
      <c r="T169" s="303"/>
      <c r="U169" s="303"/>
    </row>
    <row r="170" spans="1:22">
      <c r="B170" s="247" t="s">
        <v>118</v>
      </c>
      <c r="C170" s="468">
        <f>C4</f>
        <v>0</v>
      </c>
      <c r="D170" s="468"/>
      <c r="E170" s="248"/>
      <c r="F170" s="249"/>
      <c r="G170" s="249"/>
      <c r="H170" s="248"/>
      <c r="I170" s="248"/>
      <c r="J170" s="248"/>
      <c r="K170" s="240"/>
      <c r="N170" s="303"/>
      <c r="O170" s="303"/>
      <c r="P170" s="303"/>
      <c r="Q170" s="303"/>
      <c r="R170" s="303"/>
      <c r="S170" s="303"/>
      <c r="T170" s="303"/>
      <c r="U170" s="303"/>
    </row>
    <row r="171" spans="1:22">
      <c r="B171" s="247" t="s">
        <v>119</v>
      </c>
      <c r="C171" s="468">
        <f>C5</f>
        <v>0</v>
      </c>
      <c r="D171" s="468"/>
      <c r="E171" s="255"/>
      <c r="F171" s="371"/>
      <c r="G171" s="249"/>
      <c r="H171" s="248"/>
      <c r="I171" s="248"/>
      <c r="J171" s="248"/>
      <c r="K171" s="240"/>
      <c r="N171" s="303"/>
      <c r="O171" s="303"/>
      <c r="P171" s="303"/>
      <c r="Q171" s="303"/>
      <c r="R171" s="303"/>
      <c r="S171" s="303"/>
      <c r="T171" s="303"/>
      <c r="U171" s="303"/>
    </row>
    <row r="172" spans="1:22">
      <c r="B172" s="254" t="s">
        <v>120</v>
      </c>
      <c r="C172" s="468">
        <f>C6</f>
        <v>0</v>
      </c>
      <c r="D172" s="468"/>
      <c r="E172" s="469"/>
      <c r="F172" s="469"/>
      <c r="G172" s="255"/>
      <c r="H172" s="256"/>
      <c r="I172" s="256"/>
      <c r="J172" s="256"/>
      <c r="K172" s="240"/>
      <c r="N172" s="303"/>
      <c r="O172" s="303"/>
      <c r="P172" s="303"/>
      <c r="Q172" s="303"/>
      <c r="R172" s="303"/>
      <c r="S172" s="303"/>
      <c r="T172" s="303"/>
      <c r="U172" s="303"/>
    </row>
    <row r="173" spans="1:22">
      <c r="B173" s="257"/>
      <c r="C173" s="255"/>
      <c r="D173" s="255"/>
      <c r="E173" s="255"/>
      <c r="F173" s="255"/>
      <c r="G173" s="255"/>
      <c r="H173" s="256"/>
      <c r="I173" s="256"/>
      <c r="J173" s="256"/>
      <c r="K173" s="240"/>
      <c r="N173" s="303"/>
      <c r="O173" s="303"/>
      <c r="P173" s="303"/>
      <c r="Q173" s="303"/>
      <c r="R173" s="303"/>
      <c r="S173" s="303"/>
      <c r="T173" s="303"/>
      <c r="U173" s="303"/>
    </row>
    <row r="174" spans="1:22">
      <c r="B174" s="258"/>
      <c r="C174" s="256"/>
      <c r="D174" s="256"/>
      <c r="E174" s="256"/>
      <c r="F174" s="259"/>
      <c r="G174" s="259"/>
      <c r="H174" s="256"/>
      <c r="I174" s="240"/>
      <c r="J174" s="240"/>
      <c r="K174" s="240"/>
      <c r="M174" s="324"/>
      <c r="N174" s="361"/>
      <c r="O174" s="361"/>
      <c r="P174" s="361"/>
      <c r="Q174" s="361"/>
      <c r="R174" s="361"/>
      <c r="S174" s="361"/>
      <c r="T174" s="361"/>
      <c r="U174" s="361"/>
      <c r="V174" s="324"/>
    </row>
    <row r="175" spans="1:22" ht="21">
      <c r="B175" s="494" t="s">
        <v>358</v>
      </c>
      <c r="C175" s="494"/>
      <c r="D175" s="494"/>
      <c r="E175" s="494"/>
      <c r="F175" s="494"/>
      <c r="G175" s="494"/>
      <c r="H175" s="494"/>
      <c r="I175" s="494"/>
      <c r="J175" s="494"/>
      <c r="K175" s="494"/>
      <c r="M175" s="324"/>
      <c r="N175" s="362" t="s">
        <v>207</v>
      </c>
      <c r="O175" s="361"/>
      <c r="P175" s="361"/>
      <c r="Q175" s="363" t="s">
        <v>208</v>
      </c>
      <c r="R175" s="361"/>
      <c r="S175" s="361"/>
      <c r="T175" s="361"/>
      <c r="U175" s="361"/>
      <c r="V175" s="324"/>
    </row>
    <row r="176" spans="1:22" ht="15.5">
      <c r="B176" s="261"/>
      <c r="C176" s="261"/>
      <c r="D176" s="261"/>
      <c r="E176" s="261"/>
      <c r="F176" s="261"/>
      <c r="G176" s="261"/>
      <c r="H176" s="261"/>
      <c r="I176" s="261"/>
      <c r="J176" s="261"/>
      <c r="K176" s="261"/>
      <c r="M176" s="324"/>
      <c r="N176" s="362"/>
      <c r="O176" s="361"/>
      <c r="P176" s="361"/>
      <c r="Q176" s="363"/>
      <c r="R176" s="361"/>
      <c r="S176" s="361"/>
      <c r="T176" s="361"/>
      <c r="U176" s="361"/>
      <c r="V176" s="324"/>
    </row>
    <row r="177" spans="1:24" ht="15.5">
      <c r="B177" s="261"/>
      <c r="C177" s="261"/>
      <c r="D177" s="261"/>
      <c r="E177" s="261"/>
      <c r="F177" s="261"/>
      <c r="G177" s="261"/>
      <c r="H177" s="490" t="s">
        <v>300</v>
      </c>
      <c r="I177" s="490"/>
      <c r="J177" s="491"/>
      <c r="K177" s="491"/>
      <c r="M177" s="324"/>
      <c r="N177" s="362"/>
      <c r="O177" s="361"/>
      <c r="P177" s="361"/>
      <c r="Q177" s="363"/>
      <c r="R177" s="361"/>
      <c r="S177" s="361"/>
      <c r="T177" s="361"/>
      <c r="U177" s="361"/>
      <c r="V177" s="324"/>
    </row>
    <row r="178" spans="1:24">
      <c r="A178" s="258"/>
      <c r="B178" s="269" t="s">
        <v>340</v>
      </c>
      <c r="C178" s="258"/>
      <c r="D178" s="258"/>
      <c r="E178" s="270"/>
      <c r="F178" s="270"/>
      <c r="G178" s="270"/>
      <c r="H178" s="496"/>
      <c r="I178" s="496"/>
      <c r="J178" s="497"/>
      <c r="K178" s="497"/>
      <c r="L178" s="258"/>
      <c r="M178" s="324"/>
      <c r="N178" s="361"/>
      <c r="O178" s="361"/>
      <c r="P178" s="361"/>
      <c r="Q178" s="361"/>
      <c r="R178" s="361"/>
      <c r="S178" s="361"/>
      <c r="T178" s="361"/>
      <c r="U178" s="361"/>
      <c r="V178" s="324"/>
    </row>
    <row r="179" spans="1:24">
      <c r="B179" s="276"/>
      <c r="C179" s="240"/>
      <c r="D179" s="240"/>
      <c r="E179" s="242"/>
      <c r="F179" s="243"/>
      <c r="G179" s="243"/>
      <c r="H179" s="240"/>
      <c r="I179" s="240"/>
      <c r="J179" s="240"/>
      <c r="K179" s="240"/>
      <c r="M179" s="324"/>
      <c r="N179" s="361"/>
      <c r="O179" s="361"/>
      <c r="P179" s="361"/>
      <c r="Q179" s="361"/>
      <c r="R179" s="361"/>
      <c r="S179" s="361"/>
      <c r="T179" s="361"/>
      <c r="U179" s="361"/>
      <c r="V179" s="324"/>
    </row>
    <row r="180" spans="1:24" ht="37.5">
      <c r="A180" s="280"/>
      <c r="B180" s="281" t="s">
        <v>2</v>
      </c>
      <c r="C180" s="470" t="s">
        <v>1</v>
      </c>
      <c r="D180" s="471"/>
      <c r="E180" s="281" t="s">
        <v>403</v>
      </c>
      <c r="F180" s="281" t="s">
        <v>347</v>
      </c>
      <c r="G180" s="283" t="s">
        <v>383</v>
      </c>
      <c r="H180" s="281" t="s">
        <v>345</v>
      </c>
      <c r="I180" s="281" t="s">
        <v>405</v>
      </c>
      <c r="J180" s="283" t="s">
        <v>349</v>
      </c>
      <c r="K180" s="281" t="s">
        <v>350</v>
      </c>
      <c r="L180" s="280"/>
      <c r="M180" s="324"/>
      <c r="N180" s="361"/>
      <c r="O180" s="361"/>
      <c r="P180" s="361"/>
      <c r="Q180" s="361"/>
      <c r="R180" s="361"/>
      <c r="S180" s="361"/>
      <c r="T180" s="361"/>
      <c r="U180" s="361"/>
      <c r="V180" s="324"/>
    </row>
    <row r="181" spans="1:24">
      <c r="B181" s="287" t="s">
        <v>3</v>
      </c>
      <c r="C181" s="465" t="str">
        <f t="shared" ref="C181:C187" si="5">C16</f>
        <v>webertherm BASEGEL gris</v>
      </c>
      <c r="D181" s="465"/>
      <c r="E181" s="288">
        <f>F16</f>
        <v>5</v>
      </c>
      <c r="F181" s="376">
        <f>VLOOKUP(C181,'Listas-2'!$B$12:$K$420,5,)</f>
        <v>25</v>
      </c>
      <c r="G181" s="374">
        <f>G16-(G16*(I16))</f>
        <v>27.98</v>
      </c>
      <c r="H181" s="375" t="str">
        <f>VLOOKUP(C181,'Listas-2'!$B$12:$K$420,8,)</f>
        <v>saco</v>
      </c>
      <c r="I181" s="376">
        <f>E181*J177</f>
        <v>0</v>
      </c>
      <c r="J181" s="377">
        <f t="shared" ref="J181:J187" si="6">ROUNDUP(I181/F181,0)</f>
        <v>0</v>
      </c>
      <c r="K181" s="378">
        <f>J181*G181</f>
        <v>0</v>
      </c>
      <c r="M181" s="324"/>
      <c r="N181" s="361"/>
      <c r="O181" s="361"/>
      <c r="P181" s="361"/>
      <c r="Q181" s="361"/>
      <c r="R181" s="361"/>
      <c r="S181" s="361"/>
      <c r="T181" s="361"/>
      <c r="U181" s="361"/>
      <c r="V181" s="324"/>
      <c r="W181" s="301"/>
      <c r="X181" s="301"/>
    </row>
    <row r="182" spans="1:24">
      <c r="B182" s="287" t="s">
        <v>6</v>
      </c>
      <c r="C182" s="465" t="str">
        <f t="shared" si="5"/>
        <v>webertherm PLACA TF PROFI 120</v>
      </c>
      <c r="D182" s="465"/>
      <c r="E182" s="288">
        <f t="shared" ref="E182:E187" si="7">F17</f>
        <v>1</v>
      </c>
      <c r="F182" s="380">
        <f>VLOOKUP(C182,'Listas-2'!$B$12:$K$420,5,)</f>
        <v>1.2</v>
      </c>
      <c r="G182" s="374">
        <f>(H17-(I17)*H17)</f>
        <v>65</v>
      </c>
      <c r="H182" s="375" t="str">
        <f>VLOOKUP(C182,'Listas-2'!$B$12:$K$420,8,)</f>
        <v>m²</v>
      </c>
      <c r="I182" s="380">
        <f>J177*E182</f>
        <v>0</v>
      </c>
      <c r="J182" s="381">
        <f>I182</f>
        <v>0</v>
      </c>
      <c r="K182" s="378">
        <f>J182*G182</f>
        <v>0</v>
      </c>
      <c r="M182" s="324"/>
      <c r="N182" s="361"/>
      <c r="O182" s="361"/>
      <c r="P182" s="361"/>
      <c r="Q182" s="361"/>
      <c r="R182" s="361"/>
      <c r="S182" s="361"/>
      <c r="T182" s="361"/>
      <c r="U182" s="361"/>
      <c r="V182" s="324"/>
      <c r="W182" s="382"/>
      <c r="X182" s="382"/>
    </row>
    <row r="183" spans="1:24">
      <c r="B183" s="287" t="s">
        <v>7</v>
      </c>
      <c r="C183" s="472" t="str">
        <f t="shared" si="5"/>
        <v>webertherm espiga SLD-5 175</v>
      </c>
      <c r="D183" s="472"/>
      <c r="E183" s="288">
        <f t="shared" si="7"/>
        <v>6.67</v>
      </c>
      <c r="F183" s="384">
        <f>VLOOKUP(C183,'Listas-2'!$B$12:$K$420,5,)</f>
        <v>100</v>
      </c>
      <c r="G183" s="374">
        <f>G18-(G18*(I18))</f>
        <v>86.87</v>
      </c>
      <c r="H183" s="375" t="str">
        <f>VLOOKUP(C183,'Listas-2'!$B$12:$K$420,8,)</f>
        <v>caja</v>
      </c>
      <c r="I183" s="384">
        <f>J177*E183</f>
        <v>0</v>
      </c>
      <c r="J183" s="385">
        <f>ROUNDUP(I183/F183,0)</f>
        <v>0</v>
      </c>
      <c r="K183" s="378">
        <f>J183*G183</f>
        <v>0</v>
      </c>
      <c r="M183" s="324"/>
      <c r="N183" s="361"/>
      <c r="O183" s="361"/>
      <c r="P183" s="361"/>
      <c r="Q183" s="361"/>
      <c r="R183" s="361"/>
      <c r="S183" s="361"/>
      <c r="T183" s="361"/>
      <c r="U183" s="361"/>
      <c r="V183" s="324"/>
      <c r="W183" s="386"/>
      <c r="X183" s="387"/>
    </row>
    <row r="184" spans="1:24">
      <c r="B184" s="473" t="s">
        <v>9</v>
      </c>
      <c r="C184" s="465" t="str">
        <f t="shared" si="5"/>
        <v>webertherm BASEGEL gris</v>
      </c>
      <c r="D184" s="465"/>
      <c r="E184" s="288">
        <f t="shared" si="7"/>
        <v>5</v>
      </c>
      <c r="F184" s="376">
        <f>VLOOKUP(C184,'Listas-2'!$B$12:$K$420,5,)</f>
        <v>25</v>
      </c>
      <c r="G184" s="374">
        <f>G19-(G19*(I19))</f>
        <v>27.98</v>
      </c>
      <c r="H184" s="375" t="str">
        <f>VLOOKUP(C184,'Listas-2'!$B$12:$K$420,8,)</f>
        <v>saco</v>
      </c>
      <c r="I184" s="376">
        <f>J177*E184</f>
        <v>0</v>
      </c>
      <c r="J184" s="377">
        <f t="shared" si="6"/>
        <v>0</v>
      </c>
      <c r="K184" s="378">
        <f>J184*G184</f>
        <v>0</v>
      </c>
      <c r="M184" s="324"/>
      <c r="N184" s="361"/>
      <c r="O184" s="361"/>
      <c r="P184" s="361"/>
      <c r="Q184" s="361"/>
      <c r="R184" s="361"/>
      <c r="S184" s="361"/>
      <c r="T184" s="361"/>
      <c r="U184" s="361"/>
      <c r="V184" s="324"/>
      <c r="W184" s="386"/>
      <c r="X184" s="387"/>
    </row>
    <row r="185" spans="1:24">
      <c r="B185" s="473"/>
      <c r="C185" s="465" t="str">
        <f t="shared" si="5"/>
        <v>webertherm MALLA 160</v>
      </c>
      <c r="D185" s="465"/>
      <c r="E185" s="288">
        <f t="shared" si="7"/>
        <v>1.1000000000000001</v>
      </c>
      <c r="F185" s="380">
        <f>VLOOKUP(C185,'Listas-2'!$B$12:$K$420,5,)</f>
        <v>55</v>
      </c>
      <c r="G185" s="374">
        <f>G20-(G20*(I20))</f>
        <v>133.94</v>
      </c>
      <c r="H185" s="375" t="str">
        <f>VLOOKUP(C185,'Listas-2'!$B$12:$K$420,8,)</f>
        <v>rollo</v>
      </c>
      <c r="I185" s="380">
        <f>J177*E185</f>
        <v>0</v>
      </c>
      <c r="J185" s="388">
        <f t="shared" si="6"/>
        <v>0</v>
      </c>
      <c r="K185" s="378">
        <f>J185*G185</f>
        <v>0</v>
      </c>
      <c r="M185" s="324"/>
      <c r="N185" s="361"/>
      <c r="O185" s="361"/>
      <c r="P185" s="361"/>
      <c r="Q185" s="361"/>
      <c r="R185" s="361"/>
      <c r="S185" s="361"/>
      <c r="T185" s="361"/>
      <c r="U185" s="361"/>
      <c r="V185" s="324"/>
      <c r="W185" s="386"/>
      <c r="X185" s="387"/>
    </row>
    <row r="186" spans="1:24">
      <c r="B186" s="473" t="s">
        <v>11</v>
      </c>
      <c r="C186" s="465" t="str">
        <f t="shared" si="5"/>
        <v>RENOVATHERM PRIMER BLANCO=BASE BB 15L</v>
      </c>
      <c r="D186" s="474"/>
      <c r="E186" s="288">
        <f>F21</f>
        <v>0.17</v>
      </c>
      <c r="F186" s="390">
        <f>IF(C186="Imprimación no necesaria","-",VLOOKUP(C186,'Listas-2'!$B$12:$K$420,5,))</f>
        <v>15</v>
      </c>
      <c r="G186" s="374">
        <f>IF(C186="Imprimación no necesaria","-",G21-(G21*(I21)))</f>
        <v>201.85</v>
      </c>
      <c r="H186" s="375" t="str">
        <f>VLOOKUP(C186,'Listas-2'!$B$12:$K$420,8,)</f>
        <v>bidón</v>
      </c>
      <c r="I186" s="390">
        <f>IF(C186="imprimación no necesaria","-",J177*E186)</f>
        <v>0</v>
      </c>
      <c r="J186" s="391">
        <f>IF(C186="imprimación no necesaria","-",ROUNDUP(I186/F186,0))</f>
        <v>0</v>
      </c>
      <c r="K186" s="378">
        <f>IF(C186="Imprimación no necesaria",0,J186*G186)</f>
        <v>0</v>
      </c>
      <c r="M186" s="324"/>
      <c r="N186" s="361"/>
      <c r="O186" s="361"/>
      <c r="P186" s="361"/>
      <c r="Q186" s="361"/>
      <c r="R186" s="361"/>
      <c r="S186" s="361"/>
      <c r="T186" s="361"/>
      <c r="U186" s="361"/>
      <c r="V186" s="324"/>
      <c r="W186" s="386"/>
      <c r="X186" s="387"/>
    </row>
    <row r="187" spans="1:24">
      <c r="B187" s="473"/>
      <c r="C187" s="465" t="str">
        <f t="shared" si="5"/>
        <v>RENOVATHERM MORTAR 1.5 BLANCO=BASE BB</v>
      </c>
      <c r="D187" s="465"/>
      <c r="E187" s="288">
        <f t="shared" si="7"/>
        <v>2.7</v>
      </c>
      <c r="F187" s="376">
        <f>VLOOKUP(C187,'Listas-2'!$B$12:$K$420,5,)</f>
        <v>25</v>
      </c>
      <c r="G187" s="374">
        <f>G22-(G22*(I22))</f>
        <v>139.75</v>
      </c>
      <c r="H187" s="375" t="str">
        <f>VLOOKUP(C187,'Listas-2'!$B$12:$K$420,8,)</f>
        <v>bidón</v>
      </c>
      <c r="I187" s="376">
        <f>J177*E187</f>
        <v>0</v>
      </c>
      <c r="J187" s="391">
        <f t="shared" si="6"/>
        <v>0</v>
      </c>
      <c r="K187" s="378">
        <f>J187*G187</f>
        <v>0</v>
      </c>
      <c r="M187" s="324"/>
      <c r="N187" s="361"/>
      <c r="O187" s="361"/>
      <c r="P187" s="361"/>
      <c r="Q187" s="361"/>
      <c r="R187" s="361"/>
      <c r="S187" s="361"/>
      <c r="T187" s="361"/>
      <c r="U187" s="361"/>
      <c r="V187" s="324"/>
      <c r="W187" s="386"/>
      <c r="X187" s="387"/>
    </row>
    <row r="188" spans="1:24">
      <c r="B188" s="292" t="s">
        <v>363</v>
      </c>
      <c r="C188" s="270"/>
      <c r="D188" s="270"/>
      <c r="E188" s="270"/>
      <c r="F188" s="293"/>
      <c r="G188" s="392"/>
      <c r="H188" s="293"/>
      <c r="I188" s="270"/>
      <c r="J188" s="293"/>
      <c r="K188" s="406"/>
      <c r="M188" s="324"/>
      <c r="N188" s="361"/>
      <c r="O188" s="361"/>
      <c r="P188" s="361"/>
      <c r="Q188" s="361"/>
      <c r="R188" s="361"/>
      <c r="S188" s="361"/>
      <c r="T188" s="361"/>
      <c r="U188" s="361"/>
      <c r="V188" s="324"/>
      <c r="W188" s="386"/>
      <c r="X188" s="387"/>
    </row>
    <row r="189" spans="1:24">
      <c r="B189" s="269" t="s">
        <v>121</v>
      </c>
      <c r="C189" s="485"/>
      <c r="D189" s="485"/>
      <c r="E189" s="242"/>
      <c r="F189" s="243"/>
      <c r="G189" s="243"/>
      <c r="H189" s="242"/>
      <c r="I189" s="242"/>
      <c r="J189" s="242"/>
      <c r="K189" s="407"/>
      <c r="M189" s="324"/>
      <c r="N189" s="361"/>
      <c r="O189" s="361"/>
      <c r="P189" s="361"/>
      <c r="Q189" s="361"/>
      <c r="R189" s="361"/>
      <c r="S189" s="361"/>
      <c r="T189" s="361"/>
      <c r="U189" s="361"/>
      <c r="V189" s="324"/>
      <c r="W189" s="386"/>
      <c r="X189" s="387"/>
    </row>
    <row r="190" spans="1:24">
      <c r="B190" s="287" t="s">
        <v>365</v>
      </c>
      <c r="C190" s="465" t="str">
        <f>C25</f>
        <v>-</v>
      </c>
      <c r="D190" s="465"/>
      <c r="E190" s="288" t="str">
        <f>F25</f>
        <v>-</v>
      </c>
      <c r="F190" s="396" t="str">
        <f>IF(C190="-","-",VLOOKUP(C190,'Listas-2'!$B$12:$K$468,5,))</f>
        <v>-</v>
      </c>
      <c r="G190" s="374" t="str">
        <f>IF(C190="-","-",G25-(G25*(I25)))</f>
        <v>-</v>
      </c>
      <c r="H190" s="396" t="str">
        <f>IF(C190="-","-",VLOOKUP(C190,'Listas-2'!$B$12:$K$468,8,))</f>
        <v>-</v>
      </c>
      <c r="I190" s="384" t="str">
        <f>IF(C190="-","-",($J$177*E190))</f>
        <v>-</v>
      </c>
      <c r="J190" s="385" t="str">
        <f>IF(C190="-","-",ROUNDUP(I190/F190,0))</f>
        <v>-</v>
      </c>
      <c r="K190" s="378">
        <f>IF(C190="-",0,(J190*G190))</f>
        <v>0</v>
      </c>
      <c r="M190" s="324"/>
      <c r="N190" s="361"/>
      <c r="O190" s="361"/>
      <c r="P190" s="361"/>
      <c r="Q190" s="361"/>
      <c r="R190" s="361"/>
      <c r="S190" s="361"/>
      <c r="T190" s="361"/>
      <c r="U190" s="361"/>
      <c r="V190" s="324"/>
      <c r="W190" s="301"/>
      <c r="X190" s="301"/>
    </row>
    <row r="191" spans="1:24">
      <c r="B191" s="287" t="s">
        <v>177</v>
      </c>
      <c r="C191" s="465" t="s">
        <v>98</v>
      </c>
      <c r="D191" s="465"/>
      <c r="E191" s="288">
        <f>F26</f>
        <v>0</v>
      </c>
      <c r="F191" s="390" t="str">
        <f>IF(C191="-","-",VLOOKUP(C191,'Listas-2'!$B$12:$K$468,5,))</f>
        <v>-</v>
      </c>
      <c r="G191" s="374" t="str">
        <f>IF(C191="-","-",G26-(G26*(I26)))</f>
        <v>-</v>
      </c>
      <c r="H191" s="375" t="str">
        <f>IF(C191="-","-",VLOOKUP(C191,'Listas-2'!$B$12:$K$468,8,))</f>
        <v>-</v>
      </c>
      <c r="I191" s="390" t="str">
        <f>IF(C191="-","-",($J$177*E191))</f>
        <v>-</v>
      </c>
      <c r="J191" s="391" t="str">
        <f>IF(C191="-","-",ROUNDUP(I191/F191,0))</f>
        <v>-</v>
      </c>
      <c r="K191" s="378">
        <f>IF(C191="-",0,(J191*G191))</f>
        <v>0</v>
      </c>
      <c r="M191" s="324"/>
      <c r="N191" s="361"/>
      <c r="O191" s="361"/>
      <c r="P191" s="361"/>
      <c r="Q191" s="361"/>
      <c r="R191" s="361"/>
      <c r="S191" s="361"/>
      <c r="T191" s="361"/>
      <c r="U191" s="361"/>
      <c r="V191" s="324"/>
      <c r="W191" s="301"/>
      <c r="X191" s="301"/>
    </row>
    <row r="192" spans="1:24">
      <c r="B192" s="287" t="s">
        <v>162</v>
      </c>
      <c r="C192" s="465" t="str">
        <f>C27</f>
        <v>-</v>
      </c>
      <c r="D192" s="465"/>
      <c r="E192" s="288" t="str">
        <f>F27</f>
        <v>-</v>
      </c>
      <c r="F192" s="376" t="str">
        <f>IF(C192="-","-",VLOOKUP(C192,'Listas-2'!$B$12:$K$468,5,))</f>
        <v>-</v>
      </c>
      <c r="G192" s="374" t="str">
        <f>IF(C192="-","-",G27-(G27*(I27)))</f>
        <v>-</v>
      </c>
      <c r="H192" s="375" t="str">
        <f>IF(C192="-","-",VLOOKUP(C192,'Listas-2'!$B$12:$K$468,8,))</f>
        <v>-</v>
      </c>
      <c r="I192" s="376" t="str">
        <f>IF(C192="-","-",($J$177*E192))</f>
        <v>-</v>
      </c>
      <c r="J192" s="391" t="str">
        <f>IF(C192="-","-",ROUNDUP(I192/F192,0))</f>
        <v>-</v>
      </c>
      <c r="K192" s="378">
        <f>IF(C192="-",0,(J192*G192))</f>
        <v>0</v>
      </c>
      <c r="M192" s="324"/>
      <c r="N192" s="361"/>
      <c r="O192" s="361"/>
      <c r="P192" s="361"/>
      <c r="Q192" s="361"/>
      <c r="R192" s="361"/>
      <c r="S192" s="361"/>
      <c r="T192" s="361"/>
      <c r="U192" s="361"/>
      <c r="V192" s="324"/>
      <c r="W192" s="301"/>
      <c r="X192" s="301"/>
    </row>
    <row r="193" spans="1:74" s="271" customFormat="1">
      <c r="A193" s="258"/>
      <c r="B193" s="306" t="s">
        <v>314</v>
      </c>
      <c r="C193" s="481" t="str">
        <f>C28</f>
        <v>-</v>
      </c>
      <c r="D193" s="482"/>
      <c r="E193" s="288" t="str">
        <f>F28</f>
        <v>-</v>
      </c>
      <c r="F193" s="396" t="str">
        <f>IF(C193="-","-",VLOOKUP(C193,'Listas-2'!$B$12:$K$468,5,))</f>
        <v>-</v>
      </c>
      <c r="G193" s="374" t="str">
        <f>IF(C193="-","-",G28-(G28*(I28)))</f>
        <v>-</v>
      </c>
      <c r="H193" s="375" t="str">
        <f>IF(C193="-","-",VLOOKUP(C193,'Listas-2'!$B$12:$K$468,8,))</f>
        <v>-</v>
      </c>
      <c r="I193" s="384" t="str">
        <f>IF(C193="-","-",($J$177*E193))</f>
        <v>-</v>
      </c>
      <c r="J193" s="385" t="str">
        <f>IF(C193="-","-",ROUNDUP(I193/F193,0))</f>
        <v>-</v>
      </c>
      <c r="K193" s="378">
        <f>IF(C193="-",0,(J193*G193))</f>
        <v>0</v>
      </c>
      <c r="L193" s="258"/>
      <c r="M193" s="301"/>
      <c r="N193" s="361"/>
      <c r="O193" s="361"/>
      <c r="P193" s="361"/>
      <c r="Q193" s="361"/>
      <c r="R193" s="361"/>
      <c r="S193" s="361"/>
      <c r="T193" s="361"/>
      <c r="U193" s="361"/>
      <c r="V193" s="301"/>
      <c r="AH193" s="301"/>
      <c r="AI193" s="301"/>
      <c r="AJ193" s="301"/>
      <c r="AK193" s="301"/>
      <c r="AL193" s="301"/>
      <c r="AM193" s="301"/>
      <c r="AN193" s="301"/>
      <c r="AO193" s="301"/>
      <c r="AP193" s="301"/>
      <c r="AQ193" s="301"/>
      <c r="AR193" s="301"/>
      <c r="AS193" s="301"/>
      <c r="AT193" s="301"/>
      <c r="AU193" s="301"/>
      <c r="AV193" s="301"/>
      <c r="AW193" s="301"/>
      <c r="AX193" s="301"/>
      <c r="AY193" s="301"/>
      <c r="AZ193" s="301"/>
      <c r="BA193" s="301"/>
      <c r="BB193" s="301"/>
      <c r="BC193" s="301"/>
      <c r="BD193" s="301"/>
      <c r="BE193" s="301"/>
      <c r="BF193" s="301"/>
      <c r="BG193" s="301"/>
      <c r="BH193" s="301"/>
      <c r="BI193" s="301"/>
      <c r="BJ193" s="301"/>
      <c r="BK193" s="301"/>
      <c r="BL193" s="301"/>
      <c r="BM193" s="301"/>
      <c r="BN193" s="301"/>
      <c r="BO193" s="301"/>
      <c r="BP193" s="301"/>
      <c r="BQ193" s="301"/>
      <c r="BR193" s="301"/>
      <c r="BS193" s="301"/>
      <c r="BT193" s="301"/>
      <c r="BU193" s="301"/>
      <c r="BV193" s="301"/>
    </row>
    <row r="194" spans="1:74" ht="14.5" thickBot="1">
      <c r="B194" s="292" t="s">
        <v>363</v>
      </c>
      <c r="C194" s="240"/>
      <c r="D194" s="240"/>
      <c r="E194" s="242"/>
      <c r="F194" s="243"/>
      <c r="G194" s="243"/>
      <c r="H194" s="240"/>
      <c r="I194" s="240"/>
      <c r="J194" s="240"/>
      <c r="K194" s="408"/>
      <c r="M194" s="324"/>
      <c r="N194" s="361"/>
      <c r="O194" s="361"/>
      <c r="P194" s="361"/>
      <c r="Q194" s="361"/>
      <c r="R194" s="361"/>
      <c r="S194" s="361"/>
      <c r="T194" s="361"/>
      <c r="U194" s="361"/>
      <c r="V194" s="324"/>
    </row>
    <row r="195" spans="1:74" s="312" customFormat="1" ht="21" customHeight="1" thickBot="1">
      <c r="A195" s="309"/>
      <c r="B195" s="309"/>
      <c r="C195" s="483"/>
      <c r="D195" s="483"/>
      <c r="E195" s="310"/>
      <c r="F195" s="475" t="s">
        <v>355</v>
      </c>
      <c r="G195" s="476"/>
      <c r="H195" s="476"/>
      <c r="I195" s="476"/>
      <c r="J195" s="477"/>
      <c r="K195" s="393">
        <f>SUM(K181:K193)</f>
        <v>0</v>
      </c>
      <c r="L195" s="309"/>
      <c r="M195" s="394"/>
      <c r="N195" s="394"/>
      <c r="O195" s="394"/>
      <c r="P195" s="394"/>
      <c r="Q195" s="394"/>
      <c r="R195" s="394"/>
      <c r="S195" s="394"/>
      <c r="T195" s="394"/>
      <c r="U195" s="394"/>
      <c r="V195" s="394"/>
    </row>
    <row r="196" spans="1:74">
      <c r="A196" s="315"/>
      <c r="B196" s="316"/>
      <c r="C196" s="316"/>
      <c r="D196" s="316"/>
      <c r="E196" s="316"/>
      <c r="F196" s="316"/>
      <c r="G196" s="316"/>
      <c r="H196" s="316"/>
      <c r="I196" s="316"/>
      <c r="J196" s="316"/>
      <c r="K196" s="316"/>
      <c r="M196" s="324"/>
      <c r="N196" s="361"/>
      <c r="O196" s="361"/>
      <c r="P196" s="361"/>
      <c r="Q196" s="361"/>
      <c r="R196" s="361"/>
      <c r="S196" s="361"/>
      <c r="T196" s="361"/>
      <c r="U196" s="361"/>
      <c r="V196" s="324"/>
    </row>
    <row r="197" spans="1:74">
      <c r="A197" s="315"/>
      <c r="B197" s="316"/>
      <c r="C197" s="316"/>
      <c r="D197" s="316"/>
      <c r="E197" s="316"/>
      <c r="F197" s="316"/>
      <c r="G197" s="316"/>
      <c r="H197" s="316"/>
      <c r="I197" s="316"/>
      <c r="J197" s="316"/>
      <c r="K197" s="316"/>
      <c r="M197" s="324"/>
      <c r="N197" s="361"/>
      <c r="O197" s="361"/>
      <c r="P197" s="361"/>
      <c r="Q197" s="361"/>
      <c r="R197" s="361"/>
      <c r="S197" s="361"/>
      <c r="T197" s="361"/>
      <c r="U197" s="361"/>
      <c r="V197" s="324"/>
    </row>
    <row r="198" spans="1:74">
      <c r="B198" s="240"/>
      <c r="C198" s="242"/>
      <c r="D198" s="242"/>
      <c r="E198" s="242"/>
      <c r="F198" s="318"/>
      <c r="G198" s="318"/>
      <c r="H198" s="318"/>
      <c r="I198" s="318"/>
      <c r="J198" s="318"/>
      <c r="K198" s="409"/>
      <c r="M198" s="324"/>
      <c r="N198" s="361"/>
      <c r="O198" s="361"/>
      <c r="P198" s="361"/>
      <c r="Q198" s="361"/>
      <c r="R198" s="361"/>
      <c r="S198" s="361"/>
      <c r="T198" s="361"/>
      <c r="U198" s="361"/>
      <c r="V198" s="324"/>
    </row>
    <row r="199" spans="1:74">
      <c r="A199" s="315"/>
      <c r="B199" s="320"/>
      <c r="C199" s="320"/>
      <c r="D199" s="320"/>
      <c r="E199" s="320"/>
      <c r="F199" s="320"/>
      <c r="G199" s="320"/>
      <c r="H199" s="320"/>
      <c r="I199" s="320"/>
      <c r="J199" s="320"/>
      <c r="K199" s="320"/>
      <c r="M199" s="324"/>
      <c r="N199" s="361"/>
      <c r="O199" s="361"/>
      <c r="P199" s="361"/>
      <c r="Q199" s="361"/>
      <c r="R199" s="361"/>
      <c r="S199" s="361"/>
      <c r="T199" s="361"/>
      <c r="U199" s="361"/>
      <c r="V199" s="324"/>
    </row>
    <row r="200" spans="1:74">
      <c r="A200" s="315"/>
      <c r="B200" s="316"/>
      <c r="C200" s="316"/>
      <c r="D200" s="316"/>
      <c r="E200" s="316"/>
      <c r="F200" s="316"/>
      <c r="G200" s="316"/>
      <c r="H200" s="316"/>
      <c r="I200" s="316"/>
      <c r="J200" s="316"/>
      <c r="K200" s="316"/>
      <c r="M200" s="324"/>
      <c r="N200" s="361"/>
      <c r="O200" s="361"/>
      <c r="P200" s="361"/>
      <c r="Q200" s="361"/>
      <c r="R200" s="361"/>
      <c r="S200" s="361"/>
      <c r="T200" s="361"/>
      <c r="U200" s="361"/>
      <c r="V200" s="324"/>
    </row>
    <row r="201" spans="1:74">
      <c r="A201" s="315"/>
      <c r="B201" s="316"/>
      <c r="C201" s="316"/>
      <c r="D201" s="316"/>
      <c r="E201" s="316"/>
      <c r="F201" s="316"/>
      <c r="G201" s="316"/>
      <c r="H201" s="316"/>
      <c r="I201" s="316"/>
      <c r="J201" s="316"/>
      <c r="K201" s="316"/>
      <c r="M201" s="324"/>
      <c r="N201" s="361"/>
      <c r="O201" s="361"/>
      <c r="P201" s="361"/>
      <c r="Q201" s="361"/>
      <c r="R201" s="361"/>
      <c r="S201" s="361"/>
      <c r="T201" s="361"/>
      <c r="U201" s="361"/>
      <c r="V201" s="324"/>
    </row>
    <row r="202" spans="1:74">
      <c r="A202" s="315"/>
      <c r="B202" s="316"/>
      <c r="C202" s="316"/>
      <c r="D202" s="316"/>
      <c r="E202" s="316"/>
      <c r="F202" s="316"/>
      <c r="G202" s="316"/>
      <c r="H202" s="316"/>
      <c r="I202" s="316"/>
      <c r="J202" s="316"/>
      <c r="K202" s="316"/>
      <c r="M202" s="324"/>
      <c r="N202" s="361"/>
      <c r="O202" s="361"/>
      <c r="P202" s="361"/>
      <c r="Q202" s="361"/>
      <c r="R202" s="361"/>
      <c r="S202" s="361"/>
      <c r="T202" s="361"/>
      <c r="U202" s="361"/>
      <c r="V202" s="324"/>
    </row>
    <row r="203" spans="1:74">
      <c r="B203" s="240"/>
      <c r="C203" s="242"/>
      <c r="D203" s="242"/>
      <c r="E203" s="242"/>
      <c r="F203" s="318"/>
      <c r="G203" s="318"/>
      <c r="H203" s="318"/>
      <c r="I203" s="318"/>
      <c r="J203" s="318"/>
      <c r="K203" s="409"/>
      <c r="M203" s="324"/>
      <c r="N203" s="361"/>
      <c r="O203" s="361"/>
      <c r="P203" s="361"/>
      <c r="Q203" s="361"/>
      <c r="R203" s="361"/>
      <c r="S203" s="361"/>
      <c r="T203" s="361"/>
      <c r="U203" s="361"/>
      <c r="V203" s="324"/>
    </row>
    <row r="204" spans="1:74">
      <c r="B204" s="269" t="s">
        <v>341</v>
      </c>
      <c r="C204" s="242"/>
      <c r="D204" s="242"/>
      <c r="E204" s="242"/>
      <c r="F204" s="318"/>
      <c r="G204" s="318"/>
      <c r="H204" s="490" t="s">
        <v>300</v>
      </c>
      <c r="I204" s="490"/>
      <c r="J204" s="491"/>
      <c r="K204" s="491"/>
      <c r="M204" s="324"/>
      <c r="N204" s="361"/>
      <c r="O204" s="361"/>
      <c r="P204" s="361"/>
      <c r="Q204" s="361"/>
      <c r="R204" s="361"/>
      <c r="S204" s="361"/>
      <c r="T204" s="361"/>
      <c r="U204" s="361"/>
      <c r="V204" s="324"/>
    </row>
    <row r="205" spans="1:74">
      <c r="B205" s="240"/>
      <c r="C205" s="242"/>
      <c r="D205" s="242"/>
      <c r="E205" s="242"/>
      <c r="F205" s="318"/>
      <c r="G205" s="318"/>
      <c r="H205" s="318"/>
      <c r="I205" s="318"/>
      <c r="J205" s="318"/>
      <c r="K205" s="409"/>
      <c r="M205" s="324"/>
      <c r="N205" s="361"/>
      <c r="O205" s="361"/>
      <c r="P205" s="361"/>
      <c r="Q205" s="361"/>
      <c r="R205" s="361"/>
      <c r="S205" s="361"/>
      <c r="T205" s="361"/>
      <c r="U205" s="361"/>
      <c r="V205" s="324"/>
    </row>
    <row r="206" spans="1:74">
      <c r="B206" s="287" t="s">
        <v>3</v>
      </c>
      <c r="C206" s="465" t="str">
        <f t="shared" ref="C206:C212" si="8">C41</f>
        <v>-</v>
      </c>
      <c r="D206" s="465"/>
      <c r="E206" s="288" t="str">
        <f t="shared" ref="E206:E212" si="9">F41</f>
        <v>-</v>
      </c>
      <c r="F206" s="376" t="str">
        <f>IF(C206="-","-",VLOOKUP(C206,'Listas-2'!$B$12:$K$420,5,))</f>
        <v>-</v>
      </c>
      <c r="G206" s="374" t="str">
        <f>IF(C206="-","-",G41-(G41*(I41)))</f>
        <v>-</v>
      </c>
      <c r="H206" s="375" t="str">
        <f>IF(C206="-","-",VLOOKUP(C206,'Listas-2'!$B$12:$K$468,8,))</f>
        <v>-</v>
      </c>
      <c r="I206" s="376" t="str">
        <f t="shared" ref="I206:I212" si="10">IF(C206="-","-",$J$204*E206)</f>
        <v>-</v>
      </c>
      <c r="J206" s="377" t="str">
        <f>IF(C206="-","-",ROUNDUP((I206/F206),0))</f>
        <v>-</v>
      </c>
      <c r="K206" s="378">
        <f t="shared" ref="K206:K212" si="11">IF(C206="-",0,J206*G206)</f>
        <v>0</v>
      </c>
      <c r="M206" s="324"/>
      <c r="N206" s="361"/>
      <c r="O206" s="361"/>
      <c r="P206" s="361"/>
      <c r="Q206" s="361"/>
      <c r="R206" s="361"/>
      <c r="S206" s="361"/>
      <c r="T206" s="361"/>
      <c r="U206" s="361"/>
      <c r="V206" s="324"/>
    </row>
    <row r="207" spans="1:74">
      <c r="B207" s="287" t="s">
        <v>6</v>
      </c>
      <c r="C207" s="465" t="str">
        <f t="shared" si="8"/>
        <v>-</v>
      </c>
      <c r="D207" s="465"/>
      <c r="E207" s="288" t="str">
        <f t="shared" si="9"/>
        <v>-</v>
      </c>
      <c r="F207" s="380" t="str">
        <f>IF(C207="-","-",VLOOKUP(C207,'Listas-2'!$B$12:$K$420,5,))</f>
        <v>-</v>
      </c>
      <c r="G207" s="374" t="str">
        <f>IF(C207="-","-",H42-(H42*(I42)))</f>
        <v>-</v>
      </c>
      <c r="H207" s="375" t="str">
        <f>IF(C207="-","-",VLOOKUP(C207,'Listas-2'!$B$12:$K$420,8,))</f>
        <v>-</v>
      </c>
      <c r="I207" s="380" t="str">
        <f t="shared" si="10"/>
        <v>-</v>
      </c>
      <c r="J207" s="381" t="str">
        <f>IF(C207="-","-",I207)</f>
        <v>-</v>
      </c>
      <c r="K207" s="378">
        <f t="shared" si="11"/>
        <v>0</v>
      </c>
      <c r="M207" s="324"/>
      <c r="N207" s="361"/>
      <c r="O207" s="361"/>
      <c r="P207" s="361"/>
      <c r="Q207" s="361"/>
      <c r="R207" s="361"/>
      <c r="S207" s="361"/>
      <c r="T207" s="361"/>
      <c r="U207" s="361"/>
      <c r="V207" s="324"/>
    </row>
    <row r="208" spans="1:74">
      <c r="B208" s="287" t="s">
        <v>7</v>
      </c>
      <c r="C208" s="465" t="str">
        <f t="shared" si="8"/>
        <v>-</v>
      </c>
      <c r="D208" s="465"/>
      <c r="E208" s="288" t="str">
        <f t="shared" si="9"/>
        <v>-</v>
      </c>
      <c r="F208" s="384" t="str">
        <f>IF(C208="-","-",VLOOKUP(C208,'Listas-2'!$B$12:$K$420,5,))</f>
        <v>-</v>
      </c>
      <c r="G208" s="374" t="str">
        <f>IF(C208="-","-",G43-(G43*(I43)))</f>
        <v>-</v>
      </c>
      <c r="H208" s="375" t="str">
        <f>IF(C208="-","-",VLOOKUP(C208,'Listas-2'!$B$12:$K$420,8,))</f>
        <v>-</v>
      </c>
      <c r="I208" s="384" t="str">
        <f t="shared" si="10"/>
        <v>-</v>
      </c>
      <c r="J208" s="385" t="str">
        <f>IF(C208="-","-",ROUNDUP((I208/F208),0))</f>
        <v>-</v>
      </c>
      <c r="K208" s="378">
        <f t="shared" si="11"/>
        <v>0</v>
      </c>
      <c r="M208" s="324"/>
      <c r="N208" s="361"/>
      <c r="O208" s="361"/>
      <c r="P208" s="361"/>
      <c r="Q208" s="361"/>
      <c r="R208" s="361"/>
      <c r="S208" s="361"/>
      <c r="T208" s="361"/>
      <c r="U208" s="361"/>
      <c r="V208" s="324"/>
    </row>
    <row r="209" spans="1:74">
      <c r="B209" s="473" t="s">
        <v>9</v>
      </c>
      <c r="C209" s="465" t="str">
        <f t="shared" si="8"/>
        <v>-</v>
      </c>
      <c r="D209" s="465"/>
      <c r="E209" s="288" t="str">
        <f t="shared" si="9"/>
        <v>-</v>
      </c>
      <c r="F209" s="376" t="str">
        <f>IF(C209="-","-",VLOOKUP(C209,'Listas-2'!$B$12:$K$420,5,))</f>
        <v>-</v>
      </c>
      <c r="G209" s="374" t="str">
        <f>IF(C209="-","-",G44-(G44*(I44)))</f>
        <v>-</v>
      </c>
      <c r="H209" s="375" t="str">
        <f>IF(C209="-","-",VLOOKUP(C209,'Listas-2'!$B$12:$K$420,8,))</f>
        <v>-</v>
      </c>
      <c r="I209" s="376" t="str">
        <f t="shared" si="10"/>
        <v>-</v>
      </c>
      <c r="J209" s="377" t="str">
        <f>IF(C209="-","-",ROUNDUP((I209/F209),0))</f>
        <v>-</v>
      </c>
      <c r="K209" s="378">
        <f t="shared" si="11"/>
        <v>0</v>
      </c>
      <c r="M209" s="324"/>
      <c r="N209" s="361"/>
      <c r="O209" s="361"/>
      <c r="P209" s="361"/>
      <c r="Q209" s="361"/>
      <c r="R209" s="361"/>
      <c r="S209" s="361"/>
      <c r="T209" s="361"/>
      <c r="U209" s="361"/>
      <c r="V209" s="324"/>
    </row>
    <row r="210" spans="1:74">
      <c r="B210" s="473"/>
      <c r="C210" s="465" t="str">
        <f t="shared" si="8"/>
        <v>-</v>
      </c>
      <c r="D210" s="465"/>
      <c r="E210" s="288" t="str">
        <f t="shared" si="9"/>
        <v>-</v>
      </c>
      <c r="F210" s="380" t="str">
        <f>IF(C210="-","-",VLOOKUP(C210,'Listas-2'!$B$12:$K$420,5,))</f>
        <v>-</v>
      </c>
      <c r="G210" s="374" t="str">
        <f>IF(C210="-","-",G45-(G45*(I45)))</f>
        <v>-</v>
      </c>
      <c r="H210" s="375" t="str">
        <f>IF(C210="-","-",VLOOKUP(C210,'Listas-2'!$B$12:$K$420,8,))</f>
        <v>-</v>
      </c>
      <c r="I210" s="380" t="str">
        <f t="shared" si="10"/>
        <v>-</v>
      </c>
      <c r="J210" s="388" t="str">
        <f>IF(C210="-","-",ROUNDUP((I210/F210),0))</f>
        <v>-</v>
      </c>
      <c r="K210" s="378">
        <f t="shared" si="11"/>
        <v>0</v>
      </c>
      <c r="M210" s="324"/>
      <c r="N210" s="361"/>
      <c r="O210" s="361"/>
      <c r="P210" s="361"/>
      <c r="Q210" s="361"/>
      <c r="R210" s="361"/>
      <c r="S210" s="361"/>
      <c r="T210" s="361"/>
      <c r="U210" s="361"/>
      <c r="V210" s="324"/>
    </row>
    <row r="211" spans="1:74">
      <c r="B211" s="473" t="s">
        <v>11</v>
      </c>
      <c r="C211" s="465" t="str">
        <f t="shared" si="8"/>
        <v>-</v>
      </c>
      <c r="D211" s="465"/>
      <c r="E211" s="288" t="str">
        <f t="shared" si="9"/>
        <v>-</v>
      </c>
      <c r="F211" s="380" t="str">
        <f>IF(C211="-","-",VLOOKUP(C211,'Listas-2'!$B$12:$K$420,5,))</f>
        <v>-</v>
      </c>
      <c r="G211" s="374" t="str">
        <f>IF(C211="-","-",G46-(G46*(I46)))</f>
        <v>-</v>
      </c>
      <c r="H211" s="375" t="str">
        <f>IF(C211="-","-",VLOOKUP(C211,'Listas-2'!$B$12:$K$420,8,))</f>
        <v>-</v>
      </c>
      <c r="I211" s="380" t="str">
        <f t="shared" si="10"/>
        <v>-</v>
      </c>
      <c r="J211" s="388" t="str">
        <f>IF(C211="-","-",ROUNDUP((I211/F211),0))</f>
        <v>-</v>
      </c>
      <c r="K211" s="378">
        <f t="shared" si="11"/>
        <v>0</v>
      </c>
      <c r="M211" s="324"/>
      <c r="N211" s="361"/>
      <c r="O211" s="361"/>
      <c r="P211" s="361"/>
      <c r="Q211" s="361"/>
      <c r="R211" s="361"/>
      <c r="S211" s="361"/>
      <c r="T211" s="361"/>
      <c r="U211" s="361"/>
      <c r="V211" s="324"/>
    </row>
    <row r="212" spans="1:74">
      <c r="B212" s="473"/>
      <c r="C212" s="465" t="str">
        <f t="shared" si="8"/>
        <v>-</v>
      </c>
      <c r="D212" s="465"/>
      <c r="E212" s="288" t="str">
        <f t="shared" si="9"/>
        <v>-</v>
      </c>
      <c r="F212" s="376" t="str">
        <f>IF(C212="-","-",VLOOKUP(C212,'Listas-2'!$B$12:$K$420,5,))</f>
        <v>-</v>
      </c>
      <c r="G212" s="374" t="str">
        <f>IF(C212="-","-",G47-(G47*(I47)))</f>
        <v>-</v>
      </c>
      <c r="H212" s="375" t="str">
        <f>IF(C212="-","-",VLOOKUP(C212,'Listas-2'!$B$12:$K$420,8,))</f>
        <v>-</v>
      </c>
      <c r="I212" s="376" t="str">
        <f t="shared" si="10"/>
        <v>-</v>
      </c>
      <c r="J212" s="391" t="str">
        <f>IF(C212="-","-",ROUNDUP((I212/F212),0))</f>
        <v>-</v>
      </c>
      <c r="K212" s="378">
        <f t="shared" si="11"/>
        <v>0</v>
      </c>
      <c r="M212" s="324"/>
      <c r="N212" s="361"/>
      <c r="O212" s="361"/>
      <c r="P212" s="361"/>
      <c r="Q212" s="361"/>
      <c r="R212" s="361"/>
      <c r="S212" s="361"/>
      <c r="T212" s="361"/>
      <c r="U212" s="361"/>
      <c r="V212" s="324"/>
    </row>
    <row r="213" spans="1:74">
      <c r="B213" s="292" t="s">
        <v>363</v>
      </c>
      <c r="C213" s="328"/>
      <c r="D213" s="242"/>
      <c r="E213" s="242"/>
      <c r="F213" s="318"/>
      <c r="G213" s="318"/>
      <c r="H213" s="318"/>
      <c r="I213" s="318"/>
      <c r="J213" s="318"/>
      <c r="K213" s="319"/>
      <c r="M213" s="324"/>
      <c r="N213" s="361"/>
      <c r="O213" s="361"/>
      <c r="P213" s="361"/>
      <c r="Q213" s="361"/>
      <c r="R213" s="361"/>
      <c r="S213" s="361"/>
      <c r="T213" s="361"/>
      <c r="U213" s="361"/>
      <c r="V213" s="324"/>
    </row>
    <row r="214" spans="1:74" ht="14.5" thickBot="1">
      <c r="B214" s="328"/>
      <c r="C214" s="328"/>
      <c r="D214" s="242"/>
      <c r="E214" s="242"/>
      <c r="F214" s="318"/>
      <c r="G214" s="318"/>
      <c r="H214" s="318"/>
      <c r="I214" s="318"/>
      <c r="J214" s="318"/>
      <c r="K214" s="319"/>
      <c r="M214" s="324"/>
      <c r="N214" s="361"/>
      <c r="O214" s="361"/>
      <c r="P214" s="361"/>
      <c r="Q214" s="361"/>
      <c r="R214" s="361"/>
      <c r="S214" s="361"/>
      <c r="T214" s="361"/>
      <c r="U214" s="361"/>
      <c r="V214" s="324"/>
    </row>
    <row r="215" spans="1:74" s="312" customFormat="1" ht="22.15" customHeight="1" thickBot="1">
      <c r="A215" s="309"/>
      <c r="B215" s="309"/>
      <c r="C215" s="483"/>
      <c r="D215" s="483"/>
      <c r="E215" s="310"/>
      <c r="F215" s="475" t="s">
        <v>355</v>
      </c>
      <c r="G215" s="476"/>
      <c r="H215" s="476"/>
      <c r="I215" s="476"/>
      <c r="J215" s="477"/>
      <c r="K215" s="393">
        <f>SUM(K206:K214)</f>
        <v>0</v>
      </c>
      <c r="L215" s="309"/>
      <c r="M215" s="394"/>
      <c r="N215" s="394"/>
      <c r="O215" s="394"/>
      <c r="P215" s="394"/>
      <c r="Q215" s="394"/>
      <c r="R215" s="394"/>
      <c r="S215" s="394"/>
      <c r="T215" s="394"/>
      <c r="U215" s="394"/>
      <c r="V215" s="394"/>
    </row>
    <row r="216" spans="1:74">
      <c r="A216" s="315"/>
      <c r="B216" s="316"/>
      <c r="C216" s="316"/>
      <c r="D216" s="316"/>
      <c r="E216" s="316"/>
      <c r="F216" s="316"/>
      <c r="G216" s="316"/>
      <c r="H216" s="316"/>
      <c r="I216" s="316"/>
      <c r="J216" s="316"/>
      <c r="K216" s="316"/>
      <c r="M216" s="324"/>
      <c r="N216" s="361"/>
      <c r="O216" s="361"/>
      <c r="P216" s="361"/>
      <c r="Q216" s="361"/>
      <c r="R216" s="361"/>
      <c r="S216" s="361"/>
      <c r="T216" s="361"/>
      <c r="U216" s="361"/>
      <c r="V216" s="324"/>
    </row>
    <row r="217" spans="1:74">
      <c r="B217" s="240"/>
      <c r="C217" s="242"/>
      <c r="D217" s="242"/>
      <c r="E217" s="242"/>
      <c r="F217" s="318"/>
      <c r="G217" s="318"/>
      <c r="H217" s="318"/>
      <c r="I217" s="318"/>
      <c r="J217" s="318"/>
      <c r="K217" s="409"/>
      <c r="M217" s="324"/>
      <c r="N217" s="361"/>
      <c r="O217" s="361"/>
      <c r="P217" s="361"/>
      <c r="Q217" s="361"/>
      <c r="R217" s="361"/>
      <c r="S217" s="361"/>
      <c r="T217" s="361"/>
      <c r="U217" s="361"/>
      <c r="V217" s="324"/>
    </row>
    <row r="218" spans="1:74">
      <c r="A218" s="315"/>
      <c r="B218" s="316"/>
      <c r="C218" s="316"/>
      <c r="D218" s="316"/>
      <c r="E218" s="316"/>
      <c r="F218" s="316"/>
      <c r="G218" s="316"/>
      <c r="H218" s="316"/>
      <c r="I218" s="316"/>
      <c r="J218" s="316"/>
      <c r="K218" s="316"/>
      <c r="M218" s="324"/>
      <c r="N218" s="361"/>
      <c r="O218" s="361"/>
      <c r="P218" s="361"/>
      <c r="Q218" s="361"/>
      <c r="R218" s="361"/>
      <c r="S218" s="361"/>
      <c r="T218" s="361"/>
      <c r="U218" s="361"/>
      <c r="V218" s="324"/>
    </row>
    <row r="219" spans="1:74">
      <c r="A219" s="315"/>
      <c r="B219" s="316"/>
      <c r="C219" s="316"/>
      <c r="D219" s="316"/>
      <c r="E219" s="316"/>
      <c r="F219" s="316"/>
      <c r="G219" s="316"/>
      <c r="H219" s="316"/>
      <c r="I219" s="316"/>
      <c r="J219" s="316"/>
      <c r="K219" s="316"/>
      <c r="M219" s="324"/>
      <c r="N219" s="361"/>
      <c r="O219" s="361"/>
      <c r="P219" s="361"/>
      <c r="Q219" s="361"/>
      <c r="R219" s="361"/>
      <c r="S219" s="361"/>
      <c r="T219" s="361"/>
      <c r="U219" s="361"/>
      <c r="V219" s="324"/>
    </row>
    <row r="220" spans="1:74">
      <c r="A220" s="315"/>
      <c r="B220" s="316"/>
      <c r="C220" s="316"/>
      <c r="D220" s="316"/>
      <c r="E220" s="316"/>
      <c r="F220" s="316"/>
      <c r="G220" s="316"/>
      <c r="H220" s="316"/>
      <c r="I220" s="316"/>
      <c r="J220" s="316"/>
      <c r="K220" s="316"/>
      <c r="M220" s="324"/>
      <c r="N220" s="361"/>
      <c r="O220" s="361"/>
      <c r="P220" s="361"/>
      <c r="Q220" s="361"/>
      <c r="R220" s="361"/>
      <c r="S220" s="361"/>
      <c r="T220" s="361"/>
      <c r="U220" s="361"/>
      <c r="V220" s="324"/>
    </row>
    <row r="221" spans="1:74">
      <c r="B221" s="240"/>
      <c r="C221" s="240"/>
      <c r="D221" s="240"/>
      <c r="E221" s="242"/>
      <c r="F221" s="243"/>
      <c r="G221" s="243"/>
      <c r="H221" s="240"/>
      <c r="I221" s="240"/>
      <c r="J221" s="240"/>
      <c r="K221" s="240"/>
      <c r="M221" s="324"/>
      <c r="N221" s="361"/>
      <c r="O221" s="361"/>
      <c r="P221" s="361"/>
      <c r="Q221" s="361"/>
      <c r="R221" s="361"/>
      <c r="S221" s="361"/>
      <c r="T221" s="361"/>
      <c r="U221" s="361"/>
      <c r="V221" s="324"/>
    </row>
    <row r="222" spans="1:74" s="271" customFormat="1">
      <c r="A222" s="258"/>
      <c r="B222" s="258"/>
      <c r="C222" s="258"/>
      <c r="D222" s="258"/>
      <c r="E222" s="270"/>
      <c r="F222" s="293"/>
      <c r="G222" s="293"/>
      <c r="H222" s="479"/>
      <c r="I222" s="479"/>
      <c r="J222" s="479"/>
      <c r="K222" s="413"/>
      <c r="L222" s="258"/>
      <c r="N222" s="303"/>
      <c r="O222" s="303"/>
      <c r="P222" s="303"/>
      <c r="Q222" s="303"/>
      <c r="R222" s="303"/>
      <c r="S222" s="303"/>
      <c r="T222" s="303"/>
      <c r="U222" s="303"/>
      <c r="AH222" s="301"/>
      <c r="AI222" s="301"/>
      <c r="AJ222" s="301"/>
      <c r="AK222" s="301"/>
      <c r="AL222" s="301"/>
      <c r="AM222" s="301"/>
      <c r="AN222" s="301"/>
      <c r="AO222" s="301"/>
      <c r="AP222" s="301"/>
      <c r="AQ222" s="301"/>
      <c r="AR222" s="301"/>
      <c r="AS222" s="301"/>
      <c r="AT222" s="301"/>
      <c r="AU222" s="301"/>
      <c r="AV222" s="301"/>
      <c r="AW222" s="301"/>
      <c r="AX222" s="301"/>
      <c r="AY222" s="301"/>
      <c r="AZ222" s="301"/>
      <c r="BA222" s="301"/>
      <c r="BB222" s="301"/>
      <c r="BC222" s="301"/>
      <c r="BD222" s="301"/>
      <c r="BE222" s="301"/>
      <c r="BF222" s="301"/>
      <c r="BG222" s="301"/>
      <c r="BH222" s="301"/>
      <c r="BI222" s="301"/>
      <c r="BJ222" s="301"/>
      <c r="BK222" s="301"/>
      <c r="BL222" s="301"/>
      <c r="BM222" s="301"/>
      <c r="BN222" s="301"/>
      <c r="BO222" s="301"/>
      <c r="BP222" s="301"/>
      <c r="BQ222" s="301"/>
      <c r="BR222" s="301"/>
      <c r="BS222" s="301"/>
      <c r="BT222" s="301"/>
      <c r="BU222" s="301"/>
      <c r="BV222" s="301"/>
    </row>
    <row r="223" spans="1:74" s="240" customFormat="1" ht="1.9" customHeight="1">
      <c r="E223" s="242"/>
      <c r="F223" s="243"/>
      <c r="G223" s="243"/>
      <c r="M223" s="245"/>
      <c r="N223" s="303"/>
      <c r="O223" s="303"/>
      <c r="P223" s="303"/>
      <c r="Q223" s="303"/>
      <c r="R223" s="303"/>
      <c r="S223" s="303"/>
      <c r="T223" s="303"/>
      <c r="U223" s="303"/>
      <c r="V223" s="245"/>
      <c r="W223" s="245"/>
      <c r="X223" s="245"/>
      <c r="Y223" s="245"/>
      <c r="Z223" s="245"/>
      <c r="AA223" s="245"/>
      <c r="AB223" s="245"/>
      <c r="AC223" s="245"/>
      <c r="AD223" s="245"/>
      <c r="AE223" s="245"/>
      <c r="AF223" s="245"/>
      <c r="AG223" s="245"/>
      <c r="AH223" s="324"/>
      <c r="AI223" s="324"/>
      <c r="AJ223" s="324"/>
      <c r="AK223" s="324"/>
      <c r="AL223" s="324"/>
      <c r="AM223" s="324"/>
      <c r="AN223" s="324"/>
      <c r="AO223" s="324"/>
      <c r="AP223" s="324"/>
      <c r="AQ223" s="324"/>
      <c r="AR223" s="324"/>
      <c r="AS223" s="324"/>
      <c r="AT223" s="324"/>
      <c r="AU223" s="324"/>
      <c r="AV223" s="324"/>
      <c r="AW223" s="324"/>
      <c r="AX223" s="324"/>
      <c r="AY223" s="324"/>
      <c r="AZ223" s="324"/>
      <c r="BA223" s="324"/>
      <c r="BB223" s="324"/>
      <c r="BC223" s="324"/>
      <c r="BD223" s="324"/>
      <c r="BE223" s="324"/>
      <c r="BF223" s="324"/>
      <c r="BG223" s="324"/>
      <c r="BH223" s="324"/>
      <c r="BI223" s="324"/>
      <c r="BJ223" s="324"/>
      <c r="BK223" s="324"/>
      <c r="BL223" s="324"/>
      <c r="BM223" s="324"/>
      <c r="BN223" s="324"/>
      <c r="BO223" s="324"/>
      <c r="BP223" s="324"/>
      <c r="BQ223" s="324"/>
      <c r="BR223" s="324"/>
      <c r="BS223" s="324"/>
      <c r="BT223" s="324"/>
      <c r="BU223" s="324"/>
      <c r="BV223" s="324"/>
    </row>
    <row r="224" spans="1:74" s="240" customFormat="1" ht="1.9" customHeight="1">
      <c r="E224" s="242"/>
      <c r="F224" s="243"/>
      <c r="G224" s="243"/>
      <c r="M224" s="245"/>
      <c r="N224" s="303"/>
      <c r="O224" s="303"/>
      <c r="P224" s="303"/>
      <c r="Q224" s="303"/>
      <c r="R224" s="303"/>
      <c r="S224" s="303"/>
      <c r="T224" s="303"/>
      <c r="U224" s="303"/>
      <c r="V224" s="245"/>
      <c r="W224" s="245"/>
      <c r="X224" s="245"/>
      <c r="Y224" s="245"/>
      <c r="Z224" s="245"/>
      <c r="AA224" s="245"/>
      <c r="AB224" s="245"/>
      <c r="AC224" s="245"/>
      <c r="AD224" s="245"/>
      <c r="AE224" s="245"/>
      <c r="AF224" s="245"/>
      <c r="AG224" s="245"/>
      <c r="AH224" s="324"/>
      <c r="AI224" s="324"/>
      <c r="AJ224" s="324"/>
      <c r="AK224" s="324"/>
      <c r="AL224" s="324"/>
      <c r="AM224" s="324"/>
      <c r="AN224" s="324"/>
      <c r="AO224" s="324"/>
      <c r="AP224" s="324"/>
      <c r="AQ224" s="324"/>
      <c r="AR224" s="324"/>
      <c r="AS224" s="324"/>
      <c r="AT224" s="324"/>
      <c r="AU224" s="324"/>
      <c r="AV224" s="324"/>
      <c r="AW224" s="324"/>
      <c r="AX224" s="324"/>
      <c r="AY224" s="324"/>
      <c r="AZ224" s="324"/>
      <c r="BA224" s="324"/>
      <c r="BB224" s="324"/>
      <c r="BC224" s="324"/>
      <c r="BD224" s="324"/>
      <c r="BE224" s="324"/>
      <c r="BF224" s="324"/>
      <c r="BG224" s="324"/>
      <c r="BH224" s="324"/>
      <c r="BI224" s="324"/>
      <c r="BJ224" s="324"/>
      <c r="BK224" s="324"/>
      <c r="BL224" s="324"/>
      <c r="BM224" s="324"/>
      <c r="BN224" s="324"/>
      <c r="BO224" s="324"/>
      <c r="BP224" s="324"/>
      <c r="BQ224" s="324"/>
      <c r="BR224" s="324"/>
      <c r="BS224" s="324"/>
      <c r="BT224" s="324"/>
      <c r="BU224" s="324"/>
      <c r="BV224" s="324"/>
    </row>
    <row r="225" spans="1:74" s="240" customFormat="1" ht="1.9" customHeight="1">
      <c r="E225" s="242"/>
      <c r="F225" s="243"/>
      <c r="G225" s="243"/>
      <c r="M225" s="245"/>
      <c r="N225" s="303"/>
      <c r="O225" s="303"/>
      <c r="P225" s="303"/>
      <c r="Q225" s="303"/>
      <c r="R225" s="303"/>
      <c r="S225" s="303"/>
      <c r="T225" s="303"/>
      <c r="U225" s="303"/>
      <c r="V225" s="245"/>
      <c r="W225" s="245"/>
      <c r="X225" s="245"/>
      <c r="Y225" s="245"/>
      <c r="Z225" s="245"/>
      <c r="AA225" s="245"/>
      <c r="AB225" s="245"/>
      <c r="AC225" s="245"/>
      <c r="AD225" s="245"/>
      <c r="AE225" s="245"/>
      <c r="AF225" s="245"/>
      <c r="AG225" s="245"/>
      <c r="AH225" s="324"/>
      <c r="AI225" s="324"/>
      <c r="AJ225" s="324"/>
      <c r="AK225" s="324"/>
      <c r="AL225" s="324"/>
      <c r="AM225" s="324"/>
      <c r="AN225" s="324"/>
      <c r="AO225" s="324"/>
      <c r="AP225" s="324"/>
      <c r="AQ225" s="324"/>
      <c r="AR225" s="324"/>
      <c r="AS225" s="324"/>
      <c r="AT225" s="324"/>
      <c r="AU225" s="324"/>
      <c r="AV225" s="324"/>
      <c r="AW225" s="324"/>
      <c r="AX225" s="324"/>
      <c r="AY225" s="324"/>
      <c r="AZ225" s="324"/>
      <c r="BA225" s="324"/>
      <c r="BB225" s="324"/>
      <c r="BC225" s="324"/>
      <c r="BD225" s="324"/>
      <c r="BE225" s="324"/>
      <c r="BF225" s="324"/>
      <c r="BG225" s="324"/>
      <c r="BH225" s="324"/>
      <c r="BI225" s="324"/>
      <c r="BJ225" s="324"/>
      <c r="BK225" s="324"/>
      <c r="BL225" s="324"/>
      <c r="BM225" s="324"/>
      <c r="BN225" s="324"/>
      <c r="BO225" s="324"/>
      <c r="BP225" s="324"/>
      <c r="BQ225" s="324"/>
      <c r="BR225" s="324"/>
      <c r="BS225" s="324"/>
      <c r="BT225" s="324"/>
      <c r="BU225" s="324"/>
      <c r="BV225" s="324"/>
    </row>
    <row r="226" spans="1:74" s="240" customFormat="1" ht="1.9" customHeight="1">
      <c r="E226" s="242"/>
      <c r="F226" s="243"/>
      <c r="G226" s="243"/>
      <c r="M226" s="245"/>
      <c r="N226" s="303"/>
      <c r="O226" s="303"/>
      <c r="P226" s="303"/>
      <c r="Q226" s="303"/>
      <c r="R226" s="303"/>
      <c r="S226" s="303"/>
      <c r="T226" s="303"/>
      <c r="U226" s="303"/>
      <c r="V226" s="245"/>
      <c r="W226" s="245"/>
      <c r="X226" s="245"/>
      <c r="Y226" s="245"/>
      <c r="Z226" s="245"/>
      <c r="AA226" s="245"/>
      <c r="AB226" s="245"/>
      <c r="AC226" s="245"/>
      <c r="AD226" s="245"/>
      <c r="AE226" s="245"/>
      <c r="AF226" s="245"/>
      <c r="AG226" s="245"/>
      <c r="AH226" s="324"/>
      <c r="AI226" s="324"/>
      <c r="AJ226" s="324"/>
      <c r="AK226" s="324"/>
      <c r="AL226" s="324"/>
      <c r="AM226" s="324"/>
      <c r="AN226" s="324"/>
      <c r="AO226" s="324"/>
      <c r="AP226" s="324"/>
      <c r="AQ226" s="324"/>
      <c r="AR226" s="324"/>
      <c r="AS226" s="324"/>
      <c r="AT226" s="324"/>
      <c r="AU226" s="324"/>
      <c r="AV226" s="324"/>
      <c r="AW226" s="324"/>
      <c r="AX226" s="324"/>
      <c r="AY226" s="324"/>
      <c r="AZ226" s="324"/>
      <c r="BA226" s="324"/>
      <c r="BB226" s="324"/>
      <c r="BC226" s="324"/>
      <c r="BD226" s="324"/>
      <c r="BE226" s="324"/>
      <c r="BF226" s="324"/>
      <c r="BG226" s="324"/>
      <c r="BH226" s="324"/>
      <c r="BI226" s="324"/>
      <c r="BJ226" s="324"/>
      <c r="BK226" s="324"/>
      <c r="BL226" s="324"/>
      <c r="BM226" s="324"/>
      <c r="BN226" s="324"/>
      <c r="BO226" s="324"/>
      <c r="BP226" s="324"/>
      <c r="BQ226" s="324"/>
      <c r="BR226" s="324"/>
      <c r="BS226" s="324"/>
      <c r="BT226" s="324"/>
      <c r="BU226" s="324"/>
      <c r="BV226" s="324"/>
    </row>
    <row r="227" spans="1:74" s="240" customFormat="1">
      <c r="B227" s="328"/>
      <c r="C227" s="328"/>
      <c r="D227" s="480"/>
      <c r="E227" s="480"/>
      <c r="F227" s="480"/>
      <c r="G227" s="480"/>
      <c r="H227" s="480"/>
      <c r="I227" s="480"/>
      <c r="J227" s="480"/>
      <c r="K227" s="480"/>
      <c r="M227" s="245"/>
      <c r="N227" s="303"/>
      <c r="O227" s="303"/>
      <c r="P227" s="303"/>
      <c r="Q227" s="303"/>
      <c r="R227" s="303"/>
      <c r="S227" s="303"/>
      <c r="T227" s="303"/>
      <c r="U227" s="303"/>
      <c r="V227" s="245"/>
      <c r="W227" s="245"/>
      <c r="X227" s="245"/>
      <c r="Y227" s="245"/>
      <c r="Z227" s="245"/>
      <c r="AA227" s="245"/>
      <c r="AB227" s="245"/>
      <c r="AC227" s="245"/>
      <c r="AD227" s="245"/>
      <c r="AE227" s="245"/>
      <c r="AF227" s="245"/>
      <c r="AG227" s="245"/>
      <c r="AH227" s="324"/>
      <c r="AI227" s="324"/>
      <c r="AJ227" s="324"/>
      <c r="AK227" s="324"/>
      <c r="AL227" s="324"/>
      <c r="AM227" s="324"/>
      <c r="AN227" s="324"/>
      <c r="AO227" s="324"/>
      <c r="AP227" s="324"/>
      <c r="AQ227" s="324"/>
      <c r="AR227" s="324"/>
      <c r="AS227" s="324"/>
      <c r="AT227" s="324"/>
      <c r="AU227" s="324"/>
      <c r="AV227" s="324"/>
      <c r="AW227" s="324"/>
      <c r="AX227" s="324"/>
      <c r="AY227" s="324"/>
      <c r="AZ227" s="324"/>
      <c r="BA227" s="324"/>
      <c r="BB227" s="324"/>
      <c r="BC227" s="324"/>
      <c r="BD227" s="324"/>
      <c r="BE227" s="324"/>
      <c r="BF227" s="324"/>
      <c r="BG227" s="324"/>
      <c r="BH227" s="324"/>
      <c r="BI227" s="324"/>
      <c r="BJ227" s="324"/>
      <c r="BK227" s="324"/>
      <c r="BL227" s="324"/>
      <c r="BM227" s="324"/>
      <c r="BN227" s="324"/>
      <c r="BO227" s="324"/>
      <c r="BP227" s="324"/>
      <c r="BQ227" s="324"/>
      <c r="BR227" s="324"/>
      <c r="BS227" s="324"/>
      <c r="BT227" s="324"/>
      <c r="BU227" s="324"/>
      <c r="BV227" s="324"/>
    </row>
    <row r="228" spans="1:74" s="240" customFormat="1">
      <c r="B228" s="328"/>
      <c r="C228" s="328"/>
      <c r="D228" s="480"/>
      <c r="E228" s="480"/>
      <c r="F228" s="480"/>
      <c r="G228" s="480"/>
      <c r="H228" s="480"/>
      <c r="I228" s="480"/>
      <c r="J228" s="480"/>
      <c r="K228" s="480"/>
      <c r="M228" s="245"/>
      <c r="N228" s="303"/>
      <c r="O228" s="303"/>
      <c r="P228" s="303"/>
      <c r="Q228" s="303"/>
      <c r="R228" s="303"/>
      <c r="S228" s="303"/>
      <c r="T228" s="303"/>
      <c r="U228" s="303"/>
      <c r="V228" s="245"/>
      <c r="W228" s="245"/>
      <c r="X228" s="245"/>
      <c r="Y228" s="245"/>
      <c r="Z228" s="245"/>
      <c r="AA228" s="245"/>
      <c r="AB228" s="245"/>
      <c r="AC228" s="245"/>
      <c r="AD228" s="245"/>
      <c r="AE228" s="245"/>
      <c r="AF228" s="245"/>
      <c r="AG228" s="245"/>
      <c r="AH228" s="324"/>
      <c r="AI228" s="324"/>
      <c r="AJ228" s="324"/>
      <c r="AK228" s="324"/>
      <c r="AL228" s="324"/>
      <c r="AM228" s="324"/>
      <c r="AN228" s="324"/>
      <c r="AO228" s="324"/>
      <c r="AP228" s="324"/>
      <c r="AQ228" s="324"/>
      <c r="AR228" s="324"/>
      <c r="AS228" s="324"/>
      <c r="AT228" s="324"/>
      <c r="AU228" s="324"/>
      <c r="AV228" s="324"/>
      <c r="AW228" s="324"/>
      <c r="AX228" s="324"/>
      <c r="AY228" s="324"/>
      <c r="AZ228" s="324"/>
      <c r="BA228" s="324"/>
      <c r="BB228" s="324"/>
      <c r="BC228" s="324"/>
      <c r="BD228" s="324"/>
      <c r="BE228" s="324"/>
      <c r="BF228" s="324"/>
      <c r="BG228" s="324"/>
      <c r="BH228" s="324"/>
      <c r="BI228" s="324"/>
      <c r="BJ228" s="324"/>
      <c r="BK228" s="324"/>
      <c r="BL228" s="324"/>
      <c r="BM228" s="324"/>
      <c r="BN228" s="324"/>
      <c r="BO228" s="324"/>
      <c r="BP228" s="324"/>
      <c r="BQ228" s="324"/>
      <c r="BR228" s="324"/>
      <c r="BS228" s="324"/>
      <c r="BT228" s="324"/>
      <c r="BU228" s="324"/>
      <c r="BV228" s="324"/>
    </row>
    <row r="229" spans="1:74" s="271" customFormat="1">
      <c r="A229" s="258"/>
      <c r="B229" s="258"/>
      <c r="C229" s="258"/>
      <c r="D229" s="258"/>
      <c r="E229" s="270"/>
      <c r="F229" s="293"/>
      <c r="G229" s="293"/>
      <c r="H229" s="479"/>
      <c r="I229" s="479"/>
      <c r="J229" s="479"/>
      <c r="K229" s="413"/>
      <c r="L229" s="258"/>
      <c r="N229" s="303"/>
      <c r="O229" s="303"/>
      <c r="P229" s="303"/>
      <c r="Q229" s="303"/>
      <c r="R229" s="303"/>
      <c r="S229" s="303"/>
      <c r="T229" s="303"/>
      <c r="U229" s="303"/>
      <c r="AH229" s="301"/>
      <c r="AI229" s="301"/>
      <c r="AJ229" s="301"/>
      <c r="AK229" s="301"/>
      <c r="AL229" s="301"/>
      <c r="AM229" s="301"/>
      <c r="AN229" s="301"/>
      <c r="AO229" s="301"/>
      <c r="AP229" s="301"/>
      <c r="AQ229" s="301"/>
      <c r="AR229" s="301"/>
      <c r="AS229" s="301"/>
      <c r="AT229" s="301"/>
      <c r="AU229" s="301"/>
      <c r="AV229" s="301"/>
      <c r="AW229" s="301"/>
      <c r="AX229" s="301"/>
      <c r="AY229" s="301"/>
      <c r="AZ229" s="301"/>
      <c r="BA229" s="301"/>
      <c r="BB229" s="301"/>
      <c r="BC229" s="301"/>
      <c r="BD229" s="301"/>
      <c r="BE229" s="301"/>
      <c r="BF229" s="301"/>
      <c r="BG229" s="301"/>
      <c r="BH229" s="301"/>
      <c r="BI229" s="301"/>
      <c r="BJ229" s="301"/>
      <c r="BK229" s="301"/>
      <c r="BL229" s="301"/>
      <c r="BM229" s="301"/>
      <c r="BN229" s="301"/>
      <c r="BO229" s="301"/>
      <c r="BP229" s="301"/>
      <c r="BQ229" s="301"/>
      <c r="BR229" s="301"/>
      <c r="BS229" s="301"/>
      <c r="BT229" s="301"/>
      <c r="BU229" s="301"/>
      <c r="BV229" s="301"/>
    </row>
    <row r="230" spans="1:74" s="271" customFormat="1">
      <c r="A230" s="258"/>
      <c r="B230" s="258"/>
      <c r="C230" s="258"/>
      <c r="D230" s="258"/>
      <c r="E230" s="270"/>
      <c r="F230" s="293"/>
      <c r="G230" s="293"/>
      <c r="H230" s="397"/>
      <c r="I230" s="397"/>
      <c r="J230" s="397"/>
      <c r="K230" s="413"/>
      <c r="L230" s="258"/>
      <c r="N230" s="303"/>
      <c r="O230" s="303"/>
      <c r="P230" s="303"/>
      <c r="Q230" s="303"/>
      <c r="R230" s="303"/>
      <c r="S230" s="303"/>
      <c r="T230" s="303"/>
      <c r="U230" s="303"/>
      <c r="AH230" s="301"/>
      <c r="AI230" s="301"/>
      <c r="AJ230" s="301"/>
      <c r="AK230" s="301"/>
      <c r="AL230" s="301"/>
      <c r="AM230" s="301"/>
      <c r="AN230" s="301"/>
      <c r="AO230" s="301"/>
      <c r="AP230" s="301"/>
      <c r="AQ230" s="301"/>
      <c r="AR230" s="301"/>
      <c r="AS230" s="301"/>
      <c r="AT230" s="301"/>
      <c r="AU230" s="301"/>
      <c r="AV230" s="301"/>
      <c r="AW230" s="301"/>
      <c r="AX230" s="301"/>
      <c r="AY230" s="301"/>
      <c r="AZ230" s="301"/>
      <c r="BA230" s="301"/>
      <c r="BB230" s="301"/>
      <c r="BC230" s="301"/>
      <c r="BD230" s="301"/>
      <c r="BE230" s="301"/>
      <c r="BF230" s="301"/>
      <c r="BG230" s="301"/>
      <c r="BH230" s="301"/>
      <c r="BI230" s="301"/>
      <c r="BJ230" s="301"/>
      <c r="BK230" s="301"/>
      <c r="BL230" s="301"/>
      <c r="BM230" s="301"/>
      <c r="BN230" s="301"/>
      <c r="BO230" s="301"/>
      <c r="BP230" s="301"/>
      <c r="BQ230" s="301"/>
      <c r="BR230" s="301"/>
      <c r="BS230" s="301"/>
      <c r="BT230" s="301"/>
      <c r="BU230" s="301"/>
      <c r="BV230" s="301"/>
    </row>
    <row r="231" spans="1:74" s="240" customFormat="1">
      <c r="B231" s="328"/>
      <c r="C231" s="328"/>
      <c r="D231" s="480"/>
      <c r="E231" s="480"/>
      <c r="F231" s="480"/>
      <c r="G231" s="480"/>
      <c r="H231" s="480"/>
      <c r="I231" s="480"/>
      <c r="J231" s="480"/>
      <c r="K231" s="480"/>
      <c r="M231" s="245"/>
      <c r="N231" s="303"/>
      <c r="O231" s="303"/>
      <c r="P231" s="303"/>
      <c r="Q231" s="303"/>
      <c r="R231" s="303"/>
      <c r="S231" s="303"/>
      <c r="T231" s="303"/>
      <c r="U231" s="303"/>
      <c r="V231" s="245"/>
      <c r="W231" s="245"/>
      <c r="X231" s="245"/>
      <c r="Y231" s="245"/>
      <c r="Z231" s="245"/>
      <c r="AA231" s="245"/>
      <c r="AB231" s="245"/>
      <c r="AC231" s="245"/>
      <c r="AD231" s="245"/>
      <c r="AE231" s="245"/>
      <c r="AF231" s="245"/>
      <c r="AG231" s="245"/>
      <c r="AH231" s="324"/>
      <c r="AI231" s="324"/>
      <c r="AJ231" s="324"/>
      <c r="AK231" s="324"/>
      <c r="AL231" s="324"/>
      <c r="AM231" s="324"/>
      <c r="AN231" s="324"/>
      <c r="AO231" s="324"/>
      <c r="AP231" s="324"/>
      <c r="AQ231" s="324"/>
      <c r="AR231" s="324"/>
      <c r="AS231" s="324"/>
      <c r="AT231" s="324"/>
      <c r="AU231" s="324"/>
      <c r="AV231" s="324"/>
      <c r="AW231" s="324"/>
      <c r="AX231" s="324"/>
      <c r="AY231" s="324"/>
      <c r="AZ231" s="324"/>
      <c r="BA231" s="324"/>
      <c r="BB231" s="324"/>
      <c r="BC231" s="324"/>
      <c r="BD231" s="324"/>
      <c r="BE231" s="324"/>
      <c r="BF231" s="324"/>
      <c r="BG231" s="324"/>
      <c r="BH231" s="324"/>
      <c r="BI231" s="324"/>
      <c r="BJ231" s="324"/>
      <c r="BK231" s="324"/>
      <c r="BL231" s="324"/>
      <c r="BM231" s="324"/>
      <c r="BN231" s="324"/>
      <c r="BO231" s="324"/>
      <c r="BP231" s="324"/>
      <c r="BQ231" s="324"/>
      <c r="BR231" s="324"/>
      <c r="BS231" s="324"/>
      <c r="BT231" s="324"/>
      <c r="BU231" s="324"/>
      <c r="BV231" s="324"/>
    </row>
    <row r="232" spans="1:74" ht="30.65" customHeight="1">
      <c r="B232" s="484"/>
      <c r="C232" s="484"/>
      <c r="D232" s="484"/>
      <c r="E232" s="484"/>
      <c r="F232" s="484"/>
      <c r="G232" s="484"/>
      <c r="H232" s="484"/>
      <c r="I232" s="484"/>
      <c r="J232" s="484"/>
      <c r="K232" s="484"/>
      <c r="N232" s="303"/>
      <c r="O232" s="303"/>
      <c r="P232" s="303"/>
      <c r="Q232" s="303"/>
      <c r="R232" s="303"/>
      <c r="S232" s="303"/>
      <c r="T232" s="303"/>
      <c r="U232" s="303"/>
      <c r="AH232" s="324"/>
      <c r="AI232" s="324"/>
      <c r="AJ232" s="324"/>
      <c r="AK232" s="324"/>
      <c r="AL232" s="324"/>
      <c r="AM232" s="324"/>
      <c r="AN232" s="324"/>
      <c r="AO232" s="324"/>
      <c r="AP232" s="324"/>
      <c r="AQ232" s="324"/>
      <c r="AR232" s="324"/>
      <c r="AS232" s="324"/>
      <c r="AT232" s="324"/>
      <c r="AU232" s="324"/>
      <c r="AV232" s="324"/>
      <c r="AW232" s="324"/>
      <c r="AX232" s="324"/>
      <c r="AY232" s="324"/>
      <c r="AZ232" s="324"/>
      <c r="BA232" s="324"/>
      <c r="BB232" s="324"/>
      <c r="BC232" s="324"/>
      <c r="BD232" s="324"/>
      <c r="BE232" s="324"/>
      <c r="BF232" s="324"/>
      <c r="BG232" s="324"/>
      <c r="BH232" s="324"/>
      <c r="BI232" s="324"/>
      <c r="BJ232" s="324"/>
      <c r="BK232" s="324"/>
      <c r="BL232" s="324"/>
      <c r="BM232" s="324"/>
      <c r="BN232" s="324"/>
      <c r="BO232" s="324"/>
      <c r="BP232" s="324"/>
      <c r="BQ232" s="324"/>
      <c r="BR232" s="324"/>
      <c r="BS232" s="324"/>
      <c r="BT232" s="324"/>
      <c r="BU232" s="324"/>
      <c r="BV232" s="324"/>
    </row>
    <row r="233" spans="1:74" s="240" customFormat="1" ht="1.9" customHeight="1">
      <c r="E233" s="242"/>
      <c r="F233" s="243"/>
      <c r="G233" s="243"/>
      <c r="M233" s="245"/>
      <c r="N233" s="303"/>
      <c r="O233" s="303"/>
      <c r="P233" s="303"/>
      <c r="Q233" s="303"/>
      <c r="R233" s="303"/>
      <c r="S233" s="303"/>
      <c r="T233" s="303"/>
      <c r="U233" s="303"/>
      <c r="V233" s="245"/>
      <c r="W233" s="245"/>
      <c r="X233" s="245"/>
      <c r="Y233" s="245"/>
      <c r="Z233" s="245"/>
      <c r="AA233" s="245"/>
      <c r="AB233" s="245"/>
      <c r="AC233" s="245"/>
      <c r="AD233" s="245"/>
      <c r="AE233" s="245"/>
      <c r="AF233" s="245"/>
      <c r="AG233" s="245"/>
      <c r="AH233" s="324"/>
      <c r="AI233" s="324"/>
      <c r="AJ233" s="324"/>
      <c r="AK233" s="324"/>
      <c r="AL233" s="324"/>
      <c r="AM233" s="324"/>
      <c r="AN233" s="324"/>
      <c r="AO233" s="324"/>
      <c r="AP233" s="324"/>
      <c r="AQ233" s="324"/>
      <c r="AR233" s="324"/>
      <c r="AS233" s="324"/>
      <c r="AT233" s="324"/>
      <c r="AU233" s="324"/>
      <c r="AV233" s="324"/>
      <c r="AW233" s="324"/>
      <c r="AX233" s="324"/>
      <c r="AY233" s="324"/>
      <c r="AZ233" s="324"/>
      <c r="BA233" s="324"/>
      <c r="BB233" s="324"/>
      <c r="BC233" s="324"/>
      <c r="BD233" s="324"/>
      <c r="BE233" s="324"/>
      <c r="BF233" s="324"/>
      <c r="BG233" s="324"/>
      <c r="BH233" s="324"/>
      <c r="BI233" s="324"/>
      <c r="BJ233" s="324"/>
      <c r="BK233" s="324"/>
      <c r="BL233" s="324"/>
      <c r="BM233" s="324"/>
      <c r="BN233" s="324"/>
      <c r="BO233" s="324"/>
      <c r="BP233" s="324"/>
      <c r="BQ233" s="324"/>
      <c r="BR233" s="324"/>
      <c r="BS233" s="324"/>
      <c r="BT233" s="324"/>
      <c r="BU233" s="324"/>
      <c r="BV233" s="324"/>
    </row>
    <row r="234" spans="1:74" s="240" customFormat="1" ht="1.9" customHeight="1">
      <c r="E234" s="242"/>
      <c r="F234" s="243"/>
      <c r="G234" s="243"/>
      <c r="M234" s="245"/>
      <c r="N234" s="303"/>
      <c r="O234" s="303"/>
      <c r="P234" s="303"/>
      <c r="Q234" s="303"/>
      <c r="R234" s="303"/>
      <c r="S234" s="303"/>
      <c r="T234" s="303"/>
      <c r="U234" s="303"/>
      <c r="V234" s="245"/>
      <c r="W234" s="245"/>
      <c r="X234" s="245"/>
      <c r="Y234" s="245"/>
      <c r="Z234" s="245"/>
      <c r="AA234" s="245"/>
      <c r="AB234" s="245"/>
      <c r="AC234" s="245"/>
      <c r="AD234" s="245"/>
      <c r="AE234" s="245"/>
      <c r="AF234" s="245"/>
      <c r="AG234" s="245"/>
      <c r="AH234" s="324"/>
      <c r="AI234" s="324"/>
      <c r="AJ234" s="324"/>
      <c r="AK234" s="324"/>
      <c r="AL234" s="324"/>
      <c r="AM234" s="324"/>
      <c r="AN234" s="324"/>
      <c r="AO234" s="324"/>
      <c r="AP234" s="324"/>
      <c r="AQ234" s="324"/>
      <c r="AR234" s="324"/>
      <c r="AS234" s="324"/>
      <c r="AT234" s="324"/>
      <c r="AU234" s="324"/>
      <c r="AV234" s="324"/>
      <c r="AW234" s="324"/>
      <c r="AX234" s="324"/>
      <c r="AY234" s="324"/>
      <c r="AZ234" s="324"/>
      <c r="BA234" s="324"/>
      <c r="BB234" s="324"/>
      <c r="BC234" s="324"/>
      <c r="BD234" s="324"/>
      <c r="BE234" s="324"/>
      <c r="BF234" s="324"/>
      <c r="BG234" s="324"/>
      <c r="BH234" s="324"/>
      <c r="BI234" s="324"/>
      <c r="BJ234" s="324"/>
      <c r="BK234" s="324"/>
      <c r="BL234" s="324"/>
      <c r="BM234" s="324"/>
      <c r="BN234" s="324"/>
      <c r="BO234" s="324"/>
      <c r="BP234" s="324"/>
      <c r="BQ234" s="324"/>
      <c r="BR234" s="324"/>
      <c r="BS234" s="324"/>
      <c r="BT234" s="324"/>
      <c r="BU234" s="324"/>
      <c r="BV234" s="324"/>
    </row>
    <row r="235" spans="1:74" s="240" customFormat="1" ht="1.9" customHeight="1">
      <c r="E235" s="242"/>
      <c r="F235" s="243"/>
      <c r="G235" s="243"/>
      <c r="M235" s="245"/>
      <c r="N235" s="303"/>
      <c r="O235" s="303"/>
      <c r="P235" s="303"/>
      <c r="Q235" s="303"/>
      <c r="R235" s="303"/>
      <c r="S235" s="303"/>
      <c r="T235" s="303"/>
      <c r="U235" s="303"/>
      <c r="V235" s="245"/>
      <c r="W235" s="245"/>
      <c r="X235" s="245"/>
      <c r="Y235" s="245"/>
      <c r="Z235" s="245"/>
      <c r="AA235" s="245"/>
      <c r="AB235" s="245"/>
      <c r="AC235" s="245"/>
      <c r="AD235" s="245"/>
      <c r="AE235" s="245"/>
      <c r="AF235" s="245"/>
      <c r="AG235" s="245"/>
      <c r="AH235" s="324"/>
      <c r="AI235" s="324"/>
      <c r="AJ235" s="324"/>
      <c r="AK235" s="324"/>
      <c r="AL235" s="324"/>
      <c r="AM235" s="324"/>
      <c r="AN235" s="324"/>
      <c r="AO235" s="324"/>
      <c r="AP235" s="324"/>
      <c r="AQ235" s="324"/>
      <c r="AR235" s="324"/>
      <c r="AS235" s="324"/>
      <c r="AT235" s="324"/>
      <c r="AU235" s="324"/>
      <c r="AV235" s="324"/>
      <c r="AW235" s="324"/>
      <c r="AX235" s="324"/>
      <c r="AY235" s="324"/>
      <c r="AZ235" s="324"/>
      <c r="BA235" s="324"/>
      <c r="BB235" s="324"/>
      <c r="BC235" s="324"/>
      <c r="BD235" s="324"/>
      <c r="BE235" s="324"/>
      <c r="BF235" s="324"/>
      <c r="BG235" s="324"/>
      <c r="BH235" s="324"/>
      <c r="BI235" s="324"/>
      <c r="BJ235" s="324"/>
      <c r="BK235" s="324"/>
      <c r="BL235" s="324"/>
      <c r="BM235" s="324"/>
      <c r="BN235" s="324"/>
      <c r="BO235" s="324"/>
      <c r="BP235" s="324"/>
      <c r="BQ235" s="324"/>
      <c r="BR235" s="324"/>
      <c r="BS235" s="324"/>
      <c r="BT235" s="324"/>
      <c r="BU235" s="324"/>
      <c r="BV235" s="324"/>
    </row>
    <row r="236" spans="1:74" s="240" customFormat="1" ht="1.9" customHeight="1">
      <c r="E236" s="242"/>
      <c r="F236" s="243"/>
      <c r="G236" s="243"/>
      <c r="M236" s="245"/>
      <c r="N236" s="303"/>
      <c r="O236" s="303"/>
      <c r="P236" s="303"/>
      <c r="Q236" s="303"/>
      <c r="R236" s="303"/>
      <c r="S236" s="303"/>
      <c r="T236" s="303"/>
      <c r="U236" s="303"/>
      <c r="V236" s="245"/>
      <c r="W236" s="245"/>
      <c r="X236" s="245"/>
      <c r="Y236" s="245"/>
      <c r="Z236" s="245"/>
      <c r="AA236" s="245"/>
      <c r="AB236" s="245"/>
      <c r="AC236" s="245"/>
      <c r="AD236" s="245"/>
      <c r="AE236" s="245"/>
      <c r="AF236" s="245"/>
      <c r="AG236" s="245"/>
      <c r="AH236" s="324"/>
      <c r="AI236" s="324"/>
      <c r="AJ236" s="324"/>
      <c r="AK236" s="324"/>
      <c r="AL236" s="324"/>
      <c r="AM236" s="324"/>
      <c r="AN236" s="324"/>
      <c r="AO236" s="324"/>
      <c r="AP236" s="324"/>
      <c r="AQ236" s="324"/>
      <c r="AR236" s="324"/>
      <c r="AS236" s="324"/>
      <c r="AT236" s="324"/>
      <c r="AU236" s="324"/>
      <c r="AV236" s="324"/>
      <c r="AW236" s="324"/>
      <c r="AX236" s="324"/>
      <c r="AY236" s="324"/>
      <c r="AZ236" s="324"/>
      <c r="BA236" s="324"/>
      <c r="BB236" s="324"/>
      <c r="BC236" s="324"/>
      <c r="BD236" s="324"/>
      <c r="BE236" s="324"/>
      <c r="BF236" s="324"/>
      <c r="BG236" s="324"/>
      <c r="BH236" s="324"/>
      <c r="BI236" s="324"/>
      <c r="BJ236" s="324"/>
      <c r="BK236" s="324"/>
      <c r="BL236" s="324"/>
      <c r="BM236" s="324"/>
      <c r="BN236" s="324"/>
      <c r="BO236" s="324"/>
      <c r="BP236" s="324"/>
      <c r="BQ236" s="324"/>
      <c r="BR236" s="324"/>
      <c r="BS236" s="324"/>
      <c r="BT236" s="324"/>
      <c r="BU236" s="324"/>
      <c r="BV236" s="324"/>
    </row>
    <row r="237" spans="1:74">
      <c r="B237" s="240"/>
      <c r="C237" s="240"/>
      <c r="D237" s="240"/>
      <c r="E237" s="242"/>
      <c r="F237" s="243"/>
      <c r="G237" s="243"/>
      <c r="H237" s="240"/>
      <c r="I237" s="240"/>
      <c r="J237" s="240"/>
      <c r="K237" s="240"/>
      <c r="M237" s="324"/>
      <c r="N237" s="361"/>
      <c r="O237" s="361"/>
      <c r="P237" s="361"/>
      <c r="Q237" s="361"/>
      <c r="R237" s="361"/>
      <c r="S237" s="361"/>
      <c r="T237" s="361"/>
      <c r="U237" s="361"/>
      <c r="V237" s="324"/>
    </row>
    <row r="238" spans="1:74">
      <c r="B238" s="328"/>
      <c r="C238" s="328"/>
      <c r="D238" s="480"/>
      <c r="E238" s="480"/>
      <c r="F238" s="480"/>
      <c r="G238" s="480"/>
      <c r="H238" s="480"/>
      <c r="I238" s="480"/>
      <c r="J238" s="480"/>
      <c r="K238" s="480"/>
      <c r="M238" s="324"/>
      <c r="N238" s="361"/>
      <c r="O238" s="361"/>
      <c r="P238" s="361"/>
      <c r="Q238" s="361"/>
      <c r="R238" s="361"/>
      <c r="S238" s="361"/>
      <c r="T238" s="361"/>
      <c r="U238" s="361"/>
      <c r="V238" s="324"/>
    </row>
    <row r="239" spans="1:74">
      <c r="B239" s="328"/>
      <c r="C239" s="328"/>
      <c r="D239" s="480"/>
      <c r="E239" s="480"/>
      <c r="F239" s="480"/>
      <c r="G239" s="480"/>
      <c r="H239" s="480"/>
      <c r="I239" s="480"/>
      <c r="J239" s="480"/>
      <c r="K239" s="480"/>
      <c r="M239" s="324"/>
      <c r="N239" s="361"/>
      <c r="O239" s="361"/>
      <c r="P239" s="361"/>
      <c r="Q239" s="361"/>
      <c r="R239" s="361"/>
      <c r="S239" s="361"/>
      <c r="T239" s="361"/>
      <c r="U239" s="361"/>
      <c r="V239" s="324"/>
    </row>
    <row r="240" spans="1:74">
      <c r="A240" s="258"/>
      <c r="B240" s="258"/>
      <c r="C240" s="258"/>
      <c r="D240" s="258"/>
      <c r="E240" s="270"/>
      <c r="F240" s="293"/>
      <c r="G240" s="293"/>
      <c r="H240" s="479"/>
      <c r="I240" s="479"/>
      <c r="J240" s="479"/>
      <c r="K240" s="413"/>
      <c r="L240" s="258"/>
      <c r="M240" s="324"/>
      <c r="N240" s="361"/>
      <c r="O240" s="361"/>
      <c r="P240" s="361"/>
      <c r="Q240" s="361"/>
      <c r="R240" s="361"/>
      <c r="S240" s="361"/>
      <c r="T240" s="361"/>
      <c r="U240" s="361"/>
      <c r="V240" s="324"/>
    </row>
    <row r="241" spans="1:74">
      <c r="B241" s="328"/>
      <c r="C241" s="328"/>
      <c r="D241" s="480"/>
      <c r="E241" s="480"/>
      <c r="F241" s="480"/>
      <c r="G241" s="480"/>
      <c r="H241" s="480"/>
      <c r="I241" s="480"/>
      <c r="J241" s="480"/>
      <c r="K241" s="480"/>
      <c r="M241" s="324"/>
      <c r="N241" s="361"/>
      <c r="O241" s="361"/>
      <c r="P241" s="361"/>
      <c r="Q241" s="361"/>
      <c r="R241" s="361"/>
      <c r="S241" s="361"/>
      <c r="T241" s="361"/>
      <c r="U241" s="361"/>
      <c r="V241" s="324"/>
    </row>
    <row r="242" spans="1:74">
      <c r="B242" s="328"/>
      <c r="C242" s="328"/>
      <c r="D242" s="480"/>
      <c r="E242" s="480"/>
      <c r="F242" s="480"/>
      <c r="G242" s="480"/>
      <c r="H242" s="480"/>
      <c r="I242" s="480"/>
      <c r="J242" s="480"/>
      <c r="K242" s="480"/>
      <c r="M242" s="324"/>
      <c r="N242" s="361"/>
      <c r="O242" s="361"/>
      <c r="P242" s="361"/>
      <c r="Q242" s="361"/>
      <c r="R242" s="361"/>
      <c r="S242" s="361"/>
      <c r="T242" s="361"/>
      <c r="U242" s="361"/>
      <c r="V242" s="324"/>
    </row>
    <row r="243" spans="1:74">
      <c r="A243" s="258"/>
      <c r="B243" s="258"/>
      <c r="C243" s="258"/>
      <c r="D243" s="258"/>
      <c r="E243" s="270"/>
      <c r="F243" s="293"/>
      <c r="G243" s="293"/>
      <c r="H243" s="479"/>
      <c r="I243" s="479"/>
      <c r="J243" s="479"/>
      <c r="K243" s="413"/>
      <c r="L243" s="258"/>
      <c r="M243" s="324"/>
      <c r="N243" s="361"/>
      <c r="O243" s="361"/>
      <c r="P243" s="361"/>
      <c r="Q243" s="361"/>
      <c r="R243" s="361"/>
      <c r="S243" s="361"/>
      <c r="T243" s="361"/>
      <c r="U243" s="361"/>
      <c r="V243" s="324"/>
    </row>
    <row r="244" spans="1:74">
      <c r="B244" s="328"/>
      <c r="C244" s="328"/>
      <c r="D244" s="480"/>
      <c r="E244" s="480"/>
      <c r="F244" s="480"/>
      <c r="G244" s="480"/>
      <c r="H244" s="480"/>
      <c r="I244" s="480"/>
      <c r="J244" s="480"/>
      <c r="K244" s="480"/>
      <c r="M244" s="324"/>
      <c r="N244" s="361"/>
      <c r="O244" s="361"/>
      <c r="P244" s="361"/>
      <c r="Q244" s="361"/>
      <c r="R244" s="361"/>
      <c r="S244" s="361"/>
      <c r="T244" s="361"/>
      <c r="U244" s="361"/>
      <c r="V244" s="324"/>
    </row>
    <row r="245" spans="1:74">
      <c r="B245" s="328"/>
      <c r="C245" s="328"/>
      <c r="D245" s="480"/>
      <c r="E245" s="480"/>
      <c r="F245" s="480"/>
      <c r="G245" s="480"/>
      <c r="H245" s="480"/>
      <c r="I245" s="480"/>
      <c r="J245" s="480"/>
      <c r="K245" s="480"/>
      <c r="M245" s="324"/>
      <c r="N245" s="361"/>
      <c r="O245" s="361"/>
      <c r="P245" s="361"/>
      <c r="Q245" s="361"/>
      <c r="R245" s="361"/>
      <c r="S245" s="361"/>
      <c r="T245" s="361"/>
      <c r="U245" s="361"/>
      <c r="V245" s="324"/>
    </row>
    <row r="246" spans="1:74">
      <c r="A246" s="258"/>
      <c r="B246" s="258"/>
      <c r="C246" s="258"/>
      <c r="D246" s="258"/>
      <c r="E246" s="270"/>
      <c r="F246" s="293"/>
      <c r="G246" s="293"/>
      <c r="H246" s="479"/>
      <c r="I246" s="479"/>
      <c r="J246" s="479"/>
      <c r="K246" s="413"/>
      <c r="L246" s="258"/>
      <c r="M246" s="324"/>
      <c r="N246" s="361"/>
      <c r="O246" s="361"/>
      <c r="P246" s="361"/>
      <c r="Q246" s="361"/>
      <c r="R246" s="361"/>
      <c r="S246" s="361"/>
      <c r="T246" s="361"/>
      <c r="U246" s="361"/>
      <c r="V246" s="324"/>
    </row>
    <row r="247" spans="1:74">
      <c r="B247" s="240"/>
      <c r="C247" s="240"/>
      <c r="D247" s="240"/>
      <c r="E247" s="242"/>
      <c r="F247" s="243"/>
      <c r="G247" s="243"/>
      <c r="H247" s="240"/>
      <c r="I247" s="240"/>
      <c r="J247" s="240"/>
      <c r="K247" s="240"/>
      <c r="M247" s="324"/>
      <c r="N247" s="361"/>
      <c r="O247" s="361"/>
      <c r="P247" s="361"/>
      <c r="Q247" s="361"/>
      <c r="R247" s="361"/>
      <c r="S247" s="361"/>
      <c r="T247" s="361"/>
      <c r="U247" s="361"/>
      <c r="V247" s="324"/>
    </row>
    <row r="248" spans="1:74">
      <c r="B248" s="240"/>
      <c r="C248" s="240"/>
      <c r="D248" s="240"/>
      <c r="E248" s="242"/>
      <c r="F248" s="243"/>
      <c r="G248" s="243"/>
      <c r="H248" s="240"/>
      <c r="I248" s="240"/>
      <c r="J248" s="240"/>
      <c r="K248" s="240"/>
      <c r="M248" s="324"/>
      <c r="N248" s="361"/>
      <c r="O248" s="361"/>
      <c r="P248" s="361"/>
      <c r="Q248" s="361"/>
      <c r="R248" s="361"/>
      <c r="S248" s="361"/>
      <c r="T248" s="361"/>
      <c r="U248" s="361"/>
      <c r="V248" s="324"/>
    </row>
    <row r="249" spans="1:74">
      <c r="B249" s="240"/>
      <c r="C249" s="240"/>
      <c r="D249" s="240"/>
      <c r="E249" s="242"/>
      <c r="F249" s="243"/>
      <c r="G249" s="243"/>
      <c r="H249" s="240"/>
      <c r="I249" s="240"/>
      <c r="J249" s="240"/>
      <c r="K249" s="240"/>
      <c r="M249" s="324"/>
      <c r="N249" s="361"/>
      <c r="O249" s="361"/>
      <c r="P249" s="361"/>
      <c r="Q249" s="361"/>
      <c r="R249" s="361"/>
      <c r="S249" s="361"/>
      <c r="T249" s="361"/>
      <c r="U249" s="361"/>
      <c r="V249" s="324"/>
    </row>
    <row r="250" spans="1:74">
      <c r="B250" s="240"/>
      <c r="C250" s="240"/>
      <c r="D250" s="240"/>
      <c r="E250" s="242"/>
      <c r="F250" s="243"/>
      <c r="G250" s="243"/>
      <c r="H250" s="240"/>
      <c r="I250" s="240"/>
      <c r="J250" s="240"/>
      <c r="K250" s="240"/>
      <c r="M250" s="324"/>
      <c r="N250" s="361"/>
      <c r="O250" s="361"/>
      <c r="P250" s="361"/>
      <c r="Q250" s="361"/>
      <c r="R250" s="361"/>
      <c r="S250" s="361"/>
      <c r="T250" s="361"/>
      <c r="U250" s="361"/>
      <c r="V250" s="324"/>
    </row>
    <row r="251" spans="1:74">
      <c r="B251" s="328"/>
      <c r="C251" s="328"/>
      <c r="D251" s="480"/>
      <c r="E251" s="480"/>
      <c r="F251" s="480"/>
      <c r="G251" s="480"/>
      <c r="H251" s="480"/>
      <c r="I251" s="480"/>
      <c r="J251" s="480"/>
      <c r="K251" s="480"/>
      <c r="M251" s="324"/>
      <c r="N251" s="361"/>
      <c r="O251" s="361"/>
      <c r="P251" s="361"/>
      <c r="Q251" s="361"/>
      <c r="R251" s="361"/>
      <c r="S251" s="361"/>
      <c r="T251" s="361"/>
      <c r="U251" s="361"/>
      <c r="V251" s="324"/>
    </row>
    <row r="252" spans="1:74">
      <c r="B252" s="328"/>
      <c r="C252" s="328"/>
      <c r="D252" s="480"/>
      <c r="E252" s="480"/>
      <c r="F252" s="480"/>
      <c r="G252" s="480"/>
      <c r="H252" s="480"/>
      <c r="I252" s="480"/>
      <c r="J252" s="480"/>
      <c r="K252" s="480"/>
      <c r="M252" s="324"/>
      <c r="N252" s="361"/>
      <c r="O252" s="361"/>
      <c r="P252" s="361"/>
      <c r="Q252" s="361"/>
      <c r="R252" s="361"/>
      <c r="S252" s="361"/>
      <c r="T252" s="361"/>
      <c r="U252" s="361"/>
      <c r="V252" s="324"/>
    </row>
    <row r="253" spans="1:74" ht="5.25" customHeight="1">
      <c r="B253" s="240"/>
      <c r="C253" s="240"/>
      <c r="D253" s="240"/>
      <c r="E253" s="242"/>
      <c r="F253" s="243"/>
      <c r="G253" s="243"/>
      <c r="H253" s="240"/>
      <c r="I253" s="240"/>
      <c r="J253" s="240"/>
      <c r="K253" s="240"/>
      <c r="M253" s="324"/>
      <c r="N253" s="361"/>
      <c r="O253" s="361"/>
      <c r="P253" s="361"/>
      <c r="Q253" s="361"/>
      <c r="R253" s="361"/>
      <c r="S253" s="361"/>
      <c r="T253" s="361"/>
      <c r="U253" s="361"/>
      <c r="V253" s="324"/>
    </row>
    <row r="254" spans="1:74" s="240" customFormat="1" ht="3.65" customHeight="1">
      <c r="B254" s="355"/>
      <c r="C254" s="355"/>
      <c r="D254" s="355"/>
      <c r="E254" s="356"/>
      <c r="F254" s="357"/>
      <c r="G254" s="357"/>
      <c r="H254" s="355"/>
      <c r="I254" s="355"/>
      <c r="J254" s="355"/>
      <c r="K254" s="355"/>
      <c r="M254" s="324"/>
      <c r="N254" s="361"/>
      <c r="O254" s="361"/>
      <c r="P254" s="361"/>
      <c r="Q254" s="361"/>
      <c r="R254" s="361"/>
      <c r="S254" s="361"/>
      <c r="T254" s="361"/>
      <c r="U254" s="361"/>
      <c r="V254" s="324"/>
      <c r="W254" s="245"/>
      <c r="X254" s="245"/>
      <c r="Y254" s="245"/>
      <c r="Z254" s="245"/>
      <c r="AA254" s="245"/>
      <c r="AB254" s="245"/>
      <c r="AC254" s="245"/>
      <c r="AD254" s="245"/>
      <c r="AE254" s="245"/>
      <c r="AF254" s="245"/>
      <c r="AG254" s="245"/>
      <c r="AH254" s="324"/>
      <c r="AI254" s="324"/>
      <c r="AJ254" s="324"/>
      <c r="AK254" s="324"/>
      <c r="AL254" s="324"/>
      <c r="AM254" s="324"/>
      <c r="AN254" s="324"/>
      <c r="AO254" s="324"/>
      <c r="AP254" s="324"/>
      <c r="AQ254" s="324"/>
      <c r="AR254" s="324"/>
      <c r="AS254" s="324"/>
      <c r="AT254" s="324"/>
      <c r="AU254" s="324"/>
      <c r="AV254" s="324"/>
      <c r="AW254" s="324"/>
      <c r="AX254" s="324"/>
      <c r="AY254" s="324"/>
      <c r="AZ254" s="324"/>
      <c r="BA254" s="324"/>
      <c r="BB254" s="324"/>
      <c r="BC254" s="324"/>
      <c r="BD254" s="324"/>
      <c r="BE254" s="324"/>
      <c r="BF254" s="324"/>
      <c r="BG254" s="324"/>
      <c r="BH254" s="324"/>
      <c r="BI254" s="324"/>
      <c r="BJ254" s="324"/>
      <c r="BK254" s="324"/>
      <c r="BL254" s="324"/>
      <c r="BM254" s="324"/>
      <c r="BN254" s="324"/>
      <c r="BO254" s="324"/>
      <c r="BP254" s="324"/>
      <c r="BQ254" s="324"/>
      <c r="BR254" s="324"/>
      <c r="BS254" s="324"/>
      <c r="BT254" s="324"/>
      <c r="BU254" s="324"/>
      <c r="BV254" s="324"/>
    </row>
    <row r="255" spans="1:74" ht="3" customHeight="1">
      <c r="B255" s="240"/>
      <c r="C255" s="240"/>
      <c r="D255" s="240"/>
      <c r="E255" s="242"/>
      <c r="F255" s="243"/>
      <c r="G255" s="243"/>
      <c r="H255" s="240"/>
      <c r="I255" s="240"/>
      <c r="J255" s="240"/>
      <c r="K255" s="240"/>
      <c r="M255" s="324"/>
      <c r="N255" s="361"/>
      <c r="O255" s="361"/>
      <c r="P255" s="361"/>
      <c r="Q255" s="361"/>
      <c r="R255" s="361"/>
      <c r="S255" s="361"/>
      <c r="T255" s="361"/>
      <c r="U255" s="361"/>
      <c r="V255" s="324"/>
    </row>
    <row r="256" spans="1:74" ht="14.5" customHeight="1">
      <c r="B256" s="484" t="s">
        <v>307</v>
      </c>
      <c r="C256" s="484"/>
      <c r="D256" s="484"/>
      <c r="E256" s="484"/>
      <c r="F256" s="484"/>
      <c r="G256" s="484"/>
      <c r="H256" s="484"/>
      <c r="I256" s="484"/>
      <c r="J256" s="484"/>
      <c r="K256" s="484"/>
      <c r="M256" s="324"/>
      <c r="N256" s="361"/>
      <c r="O256" s="361"/>
      <c r="P256" s="361"/>
      <c r="Q256" s="361"/>
      <c r="R256" s="361"/>
      <c r="S256" s="361"/>
      <c r="T256" s="361"/>
      <c r="U256" s="361"/>
      <c r="V256" s="324"/>
    </row>
    <row r="257" spans="1:22">
      <c r="B257" s="484"/>
      <c r="C257" s="484"/>
      <c r="D257" s="484"/>
      <c r="E257" s="484"/>
      <c r="F257" s="484"/>
      <c r="G257" s="484"/>
      <c r="H257" s="484"/>
      <c r="I257" s="484"/>
      <c r="J257" s="484"/>
      <c r="K257" s="484"/>
      <c r="M257" s="324"/>
      <c r="N257" s="361"/>
      <c r="O257" s="361"/>
      <c r="P257" s="361"/>
      <c r="Q257" s="361"/>
      <c r="R257" s="361"/>
      <c r="S257" s="361"/>
      <c r="T257" s="361"/>
      <c r="U257" s="361"/>
      <c r="V257" s="324"/>
    </row>
    <row r="258" spans="1:22" ht="14.5" customHeight="1">
      <c r="B258" s="484"/>
      <c r="C258" s="484"/>
      <c r="D258" s="484"/>
      <c r="E258" s="484"/>
      <c r="F258" s="484"/>
      <c r="G258" s="484"/>
      <c r="H258" s="484"/>
      <c r="I258" s="484"/>
      <c r="J258" s="484"/>
      <c r="K258" s="484"/>
      <c r="M258" s="324"/>
      <c r="N258" s="361"/>
      <c r="O258" s="361"/>
      <c r="P258" s="361"/>
      <c r="Q258" s="361"/>
      <c r="R258" s="361"/>
      <c r="S258" s="361"/>
      <c r="T258" s="361"/>
      <c r="U258" s="361"/>
      <c r="V258" s="324"/>
    </row>
    <row r="259" spans="1:22">
      <c r="B259" s="484"/>
      <c r="C259" s="484"/>
      <c r="D259" s="484"/>
      <c r="E259" s="484"/>
      <c r="F259" s="484"/>
      <c r="G259" s="484"/>
      <c r="H259" s="484"/>
      <c r="I259" s="484"/>
      <c r="J259" s="484"/>
      <c r="K259" s="484"/>
      <c r="M259" s="324"/>
      <c r="N259" s="361"/>
      <c r="O259" s="361"/>
      <c r="P259" s="361"/>
      <c r="Q259" s="361"/>
      <c r="R259" s="361"/>
      <c r="S259" s="361"/>
      <c r="T259" s="361"/>
      <c r="U259" s="361"/>
      <c r="V259" s="324"/>
    </row>
    <row r="260" spans="1:22">
      <c r="A260" s="245"/>
      <c r="B260" s="245"/>
      <c r="C260" s="245"/>
      <c r="D260" s="245"/>
      <c r="E260" s="246"/>
      <c r="F260" s="359"/>
      <c r="G260" s="359"/>
      <c r="H260" s="245"/>
      <c r="I260" s="245"/>
      <c r="J260" s="245"/>
      <c r="K260" s="245"/>
      <c r="L260" s="245"/>
      <c r="M260" s="324"/>
      <c r="N260" s="361"/>
      <c r="O260" s="361"/>
      <c r="P260" s="361"/>
      <c r="Q260" s="361"/>
      <c r="R260" s="361"/>
      <c r="S260" s="361"/>
      <c r="T260" s="361"/>
      <c r="U260" s="361"/>
      <c r="V260" s="324"/>
    </row>
    <row r="261" spans="1:22">
      <c r="A261" s="245"/>
      <c r="B261" s="245"/>
      <c r="C261" s="245"/>
      <c r="D261" s="245"/>
      <c r="E261" s="246"/>
      <c r="F261" s="359"/>
      <c r="G261" s="359"/>
      <c r="H261" s="245"/>
      <c r="I261" s="245"/>
      <c r="J261" s="245"/>
      <c r="K261" s="245"/>
      <c r="L261" s="245"/>
      <c r="M261" s="324"/>
      <c r="N261" s="361"/>
      <c r="O261" s="361"/>
      <c r="P261" s="361"/>
      <c r="Q261" s="361"/>
      <c r="R261" s="361"/>
      <c r="S261" s="361"/>
      <c r="T261" s="361"/>
      <c r="U261" s="361"/>
      <c r="V261" s="324"/>
    </row>
    <row r="262" spans="1:22">
      <c r="A262" s="245"/>
      <c r="B262" s="245"/>
      <c r="C262" s="245"/>
      <c r="D262" s="245"/>
      <c r="E262" s="246"/>
      <c r="F262" s="359"/>
      <c r="G262" s="359"/>
      <c r="H262" s="245"/>
      <c r="I262" s="245"/>
      <c r="J262" s="245"/>
      <c r="K262" s="245"/>
      <c r="L262" s="245"/>
      <c r="M262" s="324"/>
      <c r="N262" s="361"/>
      <c r="O262" s="361"/>
      <c r="P262" s="361"/>
      <c r="Q262" s="361"/>
      <c r="R262" s="361"/>
      <c r="S262" s="361"/>
      <c r="T262" s="361"/>
      <c r="U262" s="361"/>
      <c r="V262" s="324"/>
    </row>
    <row r="263" spans="1:22">
      <c r="A263" s="245"/>
      <c r="B263" s="245"/>
      <c r="C263" s="245"/>
      <c r="D263" s="245"/>
      <c r="E263" s="246"/>
      <c r="F263" s="359"/>
      <c r="G263" s="359"/>
      <c r="H263" s="245"/>
      <c r="I263" s="245"/>
      <c r="J263" s="245"/>
      <c r="K263" s="245"/>
      <c r="L263" s="245"/>
      <c r="M263" s="324"/>
      <c r="N263" s="361"/>
      <c r="O263" s="361"/>
      <c r="P263" s="361"/>
      <c r="Q263" s="361"/>
      <c r="R263" s="361"/>
      <c r="S263" s="361"/>
      <c r="T263" s="361"/>
      <c r="U263" s="361"/>
      <c r="V263" s="324"/>
    </row>
    <row r="264" spans="1:22">
      <c r="A264" s="245"/>
      <c r="B264" s="245"/>
      <c r="C264" s="245"/>
      <c r="D264" s="245"/>
      <c r="E264" s="246"/>
      <c r="F264" s="359"/>
      <c r="G264" s="359"/>
      <c r="H264" s="245"/>
      <c r="I264" s="245"/>
      <c r="J264" s="245"/>
      <c r="K264" s="245"/>
      <c r="L264" s="245"/>
      <c r="M264" s="324"/>
      <c r="N264" s="361"/>
      <c r="O264" s="361"/>
      <c r="P264" s="361"/>
      <c r="Q264" s="361"/>
      <c r="R264" s="361"/>
      <c r="S264" s="361"/>
      <c r="T264" s="361"/>
      <c r="U264" s="361"/>
      <c r="V264" s="324"/>
    </row>
    <row r="265" spans="1:22">
      <c r="A265" s="245"/>
      <c r="B265" s="245"/>
      <c r="C265" s="245"/>
      <c r="D265" s="245"/>
      <c r="E265" s="246"/>
      <c r="F265" s="359"/>
      <c r="G265" s="359"/>
      <c r="H265" s="245"/>
      <c r="I265" s="245"/>
      <c r="J265" s="245"/>
      <c r="K265" s="245"/>
      <c r="L265" s="245"/>
      <c r="M265" s="324"/>
      <c r="N265" s="361"/>
      <c r="O265" s="361"/>
      <c r="P265" s="361"/>
      <c r="Q265" s="361"/>
      <c r="R265" s="361"/>
      <c r="S265" s="361"/>
      <c r="T265" s="361"/>
      <c r="U265" s="361"/>
      <c r="V265" s="324"/>
    </row>
    <row r="266" spans="1:22">
      <c r="A266" s="245"/>
      <c r="B266" s="245"/>
      <c r="C266" s="245"/>
      <c r="D266" s="245"/>
      <c r="E266" s="246"/>
      <c r="F266" s="359"/>
      <c r="G266" s="359"/>
      <c r="H266" s="245"/>
      <c r="I266" s="245"/>
      <c r="J266" s="245"/>
      <c r="K266" s="245"/>
      <c r="L266" s="245"/>
      <c r="M266" s="324"/>
      <c r="N266" s="361"/>
      <c r="O266" s="361"/>
      <c r="P266" s="361"/>
      <c r="Q266" s="361"/>
      <c r="R266" s="361"/>
      <c r="S266" s="361"/>
      <c r="T266" s="361"/>
      <c r="U266" s="361"/>
      <c r="V266" s="324"/>
    </row>
    <row r="267" spans="1:22">
      <c r="A267" s="245"/>
      <c r="B267" s="245"/>
      <c r="C267" s="245"/>
      <c r="D267" s="245"/>
      <c r="E267" s="246"/>
      <c r="F267" s="359"/>
      <c r="G267" s="359"/>
      <c r="H267" s="245"/>
      <c r="I267" s="245"/>
      <c r="J267" s="245"/>
      <c r="K267" s="245"/>
      <c r="L267" s="245"/>
      <c r="M267" s="324"/>
      <c r="N267" s="361"/>
      <c r="O267" s="361"/>
      <c r="P267" s="361"/>
      <c r="Q267" s="361"/>
      <c r="R267" s="361"/>
      <c r="S267" s="361"/>
      <c r="T267" s="361"/>
      <c r="U267" s="361"/>
      <c r="V267" s="324"/>
    </row>
    <row r="268" spans="1:22">
      <c r="A268" s="245"/>
      <c r="B268" s="245"/>
      <c r="C268" s="245"/>
      <c r="D268" s="245"/>
      <c r="E268" s="246"/>
      <c r="F268" s="359"/>
      <c r="G268" s="359"/>
      <c r="H268" s="245"/>
      <c r="I268" s="245"/>
      <c r="J268" s="245"/>
      <c r="K268" s="245"/>
      <c r="L268" s="245"/>
      <c r="M268" s="324"/>
      <c r="N268" s="361"/>
      <c r="O268" s="361"/>
      <c r="P268" s="361"/>
      <c r="Q268" s="361"/>
      <c r="R268" s="361"/>
      <c r="S268" s="361"/>
      <c r="T268" s="361"/>
      <c r="U268" s="361"/>
      <c r="V268" s="324"/>
    </row>
    <row r="269" spans="1:22">
      <c r="A269" s="245"/>
      <c r="B269" s="245"/>
      <c r="C269" s="245"/>
      <c r="D269" s="245"/>
      <c r="E269" s="246"/>
      <c r="F269" s="359"/>
      <c r="G269" s="359"/>
      <c r="H269" s="245"/>
      <c r="I269" s="245"/>
      <c r="J269" s="245"/>
      <c r="K269" s="245"/>
      <c r="L269" s="245"/>
      <c r="M269" s="324"/>
      <c r="N269" s="361"/>
      <c r="O269" s="361"/>
      <c r="P269" s="361"/>
      <c r="Q269" s="361"/>
      <c r="R269" s="361"/>
      <c r="S269" s="361"/>
      <c r="T269" s="361"/>
      <c r="U269" s="361"/>
      <c r="V269" s="324"/>
    </row>
    <row r="270" spans="1:22">
      <c r="A270" s="245"/>
      <c r="B270" s="245"/>
      <c r="C270" s="245"/>
      <c r="D270" s="245"/>
      <c r="E270" s="246"/>
      <c r="F270" s="359"/>
      <c r="G270" s="359"/>
      <c r="H270" s="245"/>
      <c r="I270" s="245"/>
      <c r="J270" s="245"/>
      <c r="K270" s="245"/>
      <c r="L270" s="245"/>
      <c r="M270" s="324"/>
      <c r="N270" s="361"/>
      <c r="O270" s="361"/>
      <c r="P270" s="361"/>
      <c r="Q270" s="361"/>
      <c r="R270" s="361"/>
      <c r="S270" s="361"/>
      <c r="T270" s="361"/>
      <c r="U270" s="361"/>
      <c r="V270" s="324"/>
    </row>
    <row r="271" spans="1:22">
      <c r="A271" s="245"/>
      <c r="B271" s="245"/>
      <c r="C271" s="245"/>
      <c r="D271" s="245"/>
      <c r="E271" s="246"/>
      <c r="F271" s="359"/>
      <c r="G271" s="359"/>
      <c r="H271" s="245"/>
      <c r="I271" s="245"/>
      <c r="J271" s="245"/>
      <c r="K271" s="245"/>
      <c r="L271" s="245"/>
      <c r="M271" s="324"/>
      <c r="N271" s="361"/>
      <c r="O271" s="361"/>
      <c r="P271" s="361"/>
      <c r="Q271" s="361"/>
      <c r="R271" s="361"/>
      <c r="S271" s="361"/>
      <c r="T271" s="361"/>
      <c r="U271" s="361"/>
      <c r="V271" s="324"/>
    </row>
    <row r="272" spans="1:22">
      <c r="A272" s="245"/>
      <c r="B272" s="245"/>
      <c r="C272" s="245"/>
      <c r="D272" s="245"/>
      <c r="E272" s="246"/>
      <c r="F272" s="359"/>
      <c r="G272" s="359"/>
      <c r="H272" s="245"/>
      <c r="I272" s="245"/>
      <c r="J272" s="245"/>
      <c r="K272" s="245"/>
      <c r="L272" s="245"/>
      <c r="M272" s="324"/>
      <c r="N272" s="361"/>
      <c r="O272" s="361"/>
      <c r="P272" s="361"/>
      <c r="Q272" s="361"/>
      <c r="R272" s="361"/>
      <c r="S272" s="361"/>
      <c r="T272" s="361"/>
      <c r="U272" s="361"/>
      <c r="V272" s="324"/>
    </row>
    <row r="273" spans="1:22">
      <c r="A273" s="245"/>
      <c r="B273" s="245"/>
      <c r="C273" s="245"/>
      <c r="D273" s="245"/>
      <c r="E273" s="246"/>
      <c r="F273" s="359"/>
      <c r="G273" s="359"/>
      <c r="H273" s="245"/>
      <c r="I273" s="245"/>
      <c r="J273" s="245"/>
      <c r="K273" s="245"/>
      <c r="L273" s="245"/>
      <c r="M273" s="324"/>
      <c r="N273" s="361"/>
      <c r="O273" s="361"/>
      <c r="P273" s="361"/>
      <c r="Q273" s="361"/>
      <c r="R273" s="361"/>
      <c r="S273" s="361"/>
      <c r="T273" s="361"/>
      <c r="U273" s="361"/>
      <c r="V273" s="324"/>
    </row>
    <row r="274" spans="1:22">
      <c r="A274" s="245"/>
      <c r="B274" s="245"/>
      <c r="C274" s="245"/>
      <c r="D274" s="245"/>
      <c r="E274" s="246"/>
      <c r="F274" s="359"/>
      <c r="G274" s="359"/>
      <c r="H274" s="245"/>
      <c r="I274" s="245"/>
      <c r="J274" s="245"/>
      <c r="K274" s="245"/>
      <c r="L274" s="245"/>
      <c r="M274" s="324"/>
      <c r="N274" s="361"/>
      <c r="O274" s="361"/>
      <c r="P274" s="361"/>
      <c r="Q274" s="361"/>
      <c r="R274" s="361"/>
      <c r="S274" s="361"/>
      <c r="T274" s="361"/>
      <c r="U274" s="361"/>
      <c r="V274" s="324"/>
    </row>
    <row r="275" spans="1:22">
      <c r="A275" s="245"/>
      <c r="B275" s="245"/>
      <c r="C275" s="245"/>
      <c r="D275" s="245"/>
      <c r="E275" s="246"/>
      <c r="F275" s="359"/>
      <c r="G275" s="359"/>
      <c r="H275" s="245"/>
      <c r="I275" s="245"/>
      <c r="J275" s="245"/>
      <c r="K275" s="245"/>
      <c r="L275" s="245"/>
      <c r="M275" s="324"/>
      <c r="N275" s="361"/>
      <c r="O275" s="361"/>
      <c r="P275" s="361"/>
      <c r="Q275" s="361"/>
      <c r="R275" s="361"/>
      <c r="S275" s="361"/>
      <c r="T275" s="361"/>
      <c r="U275" s="361"/>
      <c r="V275" s="324"/>
    </row>
    <row r="276" spans="1:22">
      <c r="A276" s="245"/>
      <c r="B276" s="245"/>
      <c r="C276" s="245"/>
      <c r="D276" s="245"/>
      <c r="E276" s="246"/>
      <c r="F276" s="359"/>
      <c r="G276" s="359"/>
      <c r="H276" s="245"/>
      <c r="I276" s="245"/>
      <c r="J276" s="245"/>
      <c r="K276" s="245"/>
      <c r="L276" s="245"/>
      <c r="M276" s="324"/>
      <c r="N276" s="361"/>
      <c r="O276" s="361"/>
      <c r="P276" s="361"/>
      <c r="Q276" s="361"/>
      <c r="R276" s="361"/>
      <c r="S276" s="361"/>
      <c r="T276" s="361"/>
      <c r="U276" s="361"/>
      <c r="V276" s="324"/>
    </row>
    <row r="277" spans="1:22">
      <c r="A277" s="245"/>
      <c r="B277" s="245"/>
      <c r="C277" s="245"/>
      <c r="D277" s="245"/>
      <c r="E277" s="246"/>
      <c r="F277" s="359"/>
      <c r="G277" s="359"/>
      <c r="H277" s="245"/>
      <c r="I277" s="245"/>
      <c r="J277" s="245"/>
      <c r="K277" s="245"/>
      <c r="L277" s="245"/>
      <c r="M277" s="324"/>
      <c r="N277" s="361"/>
      <c r="O277" s="361"/>
      <c r="P277" s="361"/>
      <c r="Q277" s="361"/>
      <c r="R277" s="361"/>
      <c r="S277" s="361"/>
      <c r="T277" s="361"/>
      <c r="U277" s="361"/>
      <c r="V277" s="324"/>
    </row>
    <row r="278" spans="1:22">
      <c r="A278" s="245"/>
      <c r="B278" s="245"/>
      <c r="C278" s="245"/>
      <c r="D278" s="245"/>
      <c r="E278" s="246"/>
      <c r="F278" s="359"/>
      <c r="G278" s="359"/>
      <c r="H278" s="245"/>
      <c r="I278" s="245"/>
      <c r="J278" s="245"/>
      <c r="K278" s="245"/>
      <c r="L278" s="245"/>
      <c r="M278" s="324"/>
      <c r="N278" s="361"/>
      <c r="O278" s="361"/>
      <c r="P278" s="361"/>
      <c r="Q278" s="361"/>
      <c r="R278" s="361"/>
      <c r="S278" s="361"/>
      <c r="T278" s="361"/>
      <c r="U278" s="361"/>
      <c r="V278" s="324"/>
    </row>
    <row r="279" spans="1:22">
      <c r="A279" s="245"/>
      <c r="B279" s="245"/>
      <c r="C279" s="245"/>
      <c r="D279" s="245"/>
      <c r="E279" s="246"/>
      <c r="F279" s="359"/>
      <c r="G279" s="359"/>
      <c r="H279" s="245"/>
      <c r="I279" s="245"/>
      <c r="J279" s="245"/>
      <c r="K279" s="245"/>
      <c r="L279" s="245"/>
      <c r="M279" s="324"/>
      <c r="N279" s="361"/>
      <c r="O279" s="361"/>
      <c r="P279" s="361"/>
      <c r="Q279" s="361"/>
      <c r="R279" s="361"/>
      <c r="S279" s="361"/>
      <c r="T279" s="361"/>
      <c r="U279" s="361"/>
      <c r="V279" s="324"/>
    </row>
    <row r="280" spans="1:22">
      <c r="A280" s="245"/>
      <c r="B280" s="245"/>
      <c r="C280" s="245"/>
      <c r="D280" s="245"/>
      <c r="E280" s="246"/>
      <c r="F280" s="359"/>
      <c r="G280" s="359"/>
      <c r="H280" s="245"/>
      <c r="I280" s="245"/>
      <c r="J280" s="245"/>
      <c r="K280" s="245"/>
      <c r="L280" s="245"/>
      <c r="M280" s="324"/>
      <c r="N280" s="361"/>
      <c r="O280" s="361"/>
      <c r="P280" s="361"/>
      <c r="Q280" s="361"/>
      <c r="R280" s="361"/>
      <c r="S280" s="361"/>
      <c r="T280" s="361"/>
      <c r="U280" s="361"/>
      <c r="V280" s="324"/>
    </row>
    <row r="281" spans="1:22">
      <c r="A281" s="245"/>
      <c r="B281" s="245"/>
      <c r="C281" s="245"/>
      <c r="D281" s="245"/>
      <c r="E281" s="246"/>
      <c r="F281" s="359"/>
      <c r="G281" s="359"/>
      <c r="H281" s="245"/>
      <c r="I281" s="245"/>
      <c r="J281" s="245"/>
      <c r="K281" s="245"/>
      <c r="L281" s="245"/>
      <c r="M281" s="324"/>
      <c r="N281" s="361"/>
      <c r="O281" s="361"/>
      <c r="P281" s="361"/>
      <c r="Q281" s="361"/>
      <c r="R281" s="361"/>
      <c r="S281" s="361"/>
      <c r="T281" s="361"/>
      <c r="U281" s="361"/>
      <c r="V281" s="324"/>
    </row>
    <row r="282" spans="1:22">
      <c r="A282" s="245"/>
      <c r="B282" s="245"/>
      <c r="C282" s="245"/>
      <c r="D282" s="245"/>
      <c r="E282" s="246"/>
      <c r="F282" s="359"/>
      <c r="G282" s="359"/>
      <c r="H282" s="245"/>
      <c r="I282" s="245"/>
      <c r="J282" s="245"/>
      <c r="K282" s="245"/>
      <c r="L282" s="245"/>
      <c r="M282" s="324"/>
      <c r="N282" s="361"/>
      <c r="O282" s="361"/>
      <c r="P282" s="361"/>
      <c r="Q282" s="361"/>
      <c r="R282" s="361"/>
      <c r="S282" s="361"/>
      <c r="T282" s="361"/>
      <c r="U282" s="361"/>
      <c r="V282" s="324"/>
    </row>
    <row r="283" spans="1:22">
      <c r="A283" s="245"/>
      <c r="B283" s="245"/>
      <c r="C283" s="245"/>
      <c r="D283" s="245"/>
      <c r="E283" s="246"/>
      <c r="F283" s="359"/>
      <c r="G283" s="359"/>
      <c r="H283" s="245"/>
      <c r="I283" s="245"/>
      <c r="J283" s="245"/>
      <c r="K283" s="245"/>
      <c r="L283" s="245"/>
      <c r="M283" s="324"/>
      <c r="N283" s="361"/>
      <c r="O283" s="361"/>
      <c r="P283" s="361"/>
      <c r="Q283" s="361"/>
      <c r="R283" s="361"/>
      <c r="S283" s="361"/>
      <c r="T283" s="361"/>
      <c r="U283" s="361"/>
      <c r="V283" s="324"/>
    </row>
    <row r="284" spans="1:22">
      <c r="A284" s="245"/>
      <c r="B284" s="245"/>
      <c r="C284" s="245"/>
      <c r="D284" s="245"/>
      <c r="E284" s="246"/>
      <c r="F284" s="359"/>
      <c r="G284" s="359"/>
      <c r="H284" s="245"/>
      <c r="I284" s="245"/>
      <c r="J284" s="245"/>
      <c r="K284" s="245"/>
      <c r="L284" s="245"/>
      <c r="M284" s="324"/>
      <c r="N284" s="361"/>
      <c r="O284" s="361"/>
      <c r="P284" s="361"/>
      <c r="Q284" s="361"/>
      <c r="R284" s="361"/>
      <c r="S284" s="361"/>
      <c r="T284" s="361"/>
      <c r="U284" s="361"/>
      <c r="V284" s="324"/>
    </row>
    <row r="285" spans="1:22">
      <c r="A285" s="245"/>
      <c r="B285" s="245"/>
      <c r="C285" s="245"/>
      <c r="D285" s="245"/>
      <c r="E285" s="246"/>
      <c r="F285" s="359"/>
      <c r="G285" s="359"/>
      <c r="H285" s="245"/>
      <c r="I285" s="245"/>
      <c r="J285" s="245"/>
      <c r="K285" s="245"/>
      <c r="L285" s="245"/>
      <c r="M285" s="324"/>
      <c r="N285" s="361"/>
      <c r="O285" s="361"/>
      <c r="P285" s="361"/>
      <c r="Q285" s="361"/>
      <c r="R285" s="361"/>
      <c r="S285" s="361"/>
      <c r="T285" s="361"/>
      <c r="U285" s="361"/>
      <c r="V285" s="324"/>
    </row>
    <row r="286" spans="1:22">
      <c r="A286" s="245"/>
      <c r="B286" s="245"/>
      <c r="C286" s="245"/>
      <c r="D286" s="245"/>
      <c r="E286" s="246"/>
      <c r="F286" s="359"/>
      <c r="G286" s="359"/>
      <c r="H286" s="245"/>
      <c r="I286" s="245"/>
      <c r="J286" s="245"/>
      <c r="K286" s="245"/>
      <c r="L286" s="245"/>
      <c r="M286" s="324"/>
      <c r="N286" s="361"/>
      <c r="O286" s="361"/>
      <c r="P286" s="361"/>
      <c r="Q286" s="361"/>
      <c r="R286" s="361"/>
      <c r="S286" s="361"/>
      <c r="T286" s="361"/>
      <c r="U286" s="361"/>
      <c r="V286" s="324"/>
    </row>
    <row r="287" spans="1:22">
      <c r="A287" s="245"/>
      <c r="B287" s="245"/>
      <c r="C287" s="245"/>
      <c r="D287" s="245"/>
      <c r="E287" s="246"/>
      <c r="F287" s="359"/>
      <c r="G287" s="359"/>
      <c r="H287" s="245"/>
      <c r="I287" s="245"/>
      <c r="J287" s="245"/>
      <c r="K287" s="245"/>
      <c r="L287" s="245"/>
      <c r="M287" s="324"/>
      <c r="N287" s="361"/>
      <c r="O287" s="361"/>
      <c r="P287" s="361"/>
      <c r="Q287" s="361"/>
      <c r="R287" s="361"/>
      <c r="S287" s="361"/>
      <c r="T287" s="361"/>
      <c r="U287" s="361"/>
      <c r="V287" s="324"/>
    </row>
    <row r="288" spans="1:22">
      <c r="A288" s="245"/>
      <c r="B288" s="245"/>
      <c r="C288" s="245"/>
      <c r="D288" s="245"/>
      <c r="E288" s="246"/>
      <c r="F288" s="359"/>
      <c r="G288" s="359"/>
      <c r="H288" s="245"/>
      <c r="I288" s="245"/>
      <c r="J288" s="245"/>
      <c r="K288" s="245"/>
      <c r="L288" s="245"/>
      <c r="M288" s="324"/>
      <c r="N288" s="361"/>
      <c r="O288" s="361"/>
      <c r="P288" s="361"/>
      <c r="Q288" s="361"/>
      <c r="R288" s="361"/>
      <c r="S288" s="361"/>
      <c r="T288" s="361"/>
      <c r="U288" s="361"/>
      <c r="V288" s="324"/>
    </row>
    <row r="289" spans="1:22">
      <c r="A289" s="245"/>
      <c r="B289" s="245"/>
      <c r="C289" s="245"/>
      <c r="D289" s="245"/>
      <c r="E289" s="246"/>
      <c r="F289" s="359"/>
      <c r="G289" s="359"/>
      <c r="H289" s="245"/>
      <c r="I289" s="245"/>
      <c r="J289" s="245"/>
      <c r="K289" s="245"/>
      <c r="L289" s="245"/>
      <c r="M289" s="324"/>
      <c r="N289" s="361"/>
      <c r="O289" s="361"/>
      <c r="P289" s="361"/>
      <c r="Q289" s="361"/>
      <c r="R289" s="361"/>
      <c r="S289" s="361"/>
      <c r="T289" s="361"/>
      <c r="U289" s="361"/>
      <c r="V289" s="324"/>
    </row>
    <row r="290" spans="1:22">
      <c r="A290" s="245"/>
      <c r="B290" s="245"/>
      <c r="C290" s="245"/>
      <c r="D290" s="245"/>
      <c r="E290" s="246"/>
      <c r="F290" s="359"/>
      <c r="G290" s="359"/>
      <c r="H290" s="245"/>
      <c r="I290" s="245"/>
      <c r="J290" s="245"/>
      <c r="K290" s="245"/>
      <c r="L290" s="245"/>
      <c r="M290" s="324"/>
      <c r="N290" s="361"/>
      <c r="O290" s="361"/>
      <c r="P290" s="361"/>
      <c r="Q290" s="361"/>
      <c r="R290" s="361"/>
      <c r="S290" s="361"/>
      <c r="T290" s="361"/>
      <c r="U290" s="361"/>
      <c r="V290" s="324"/>
    </row>
    <row r="291" spans="1:22">
      <c r="A291" s="245"/>
      <c r="B291" s="245"/>
      <c r="C291" s="245"/>
      <c r="D291" s="245"/>
      <c r="E291" s="246"/>
      <c r="F291" s="359"/>
      <c r="G291" s="359"/>
      <c r="H291" s="245"/>
      <c r="I291" s="245"/>
      <c r="J291" s="245"/>
      <c r="K291" s="245"/>
      <c r="L291" s="245"/>
      <c r="M291" s="324"/>
      <c r="N291" s="361"/>
      <c r="O291" s="361"/>
      <c r="P291" s="361"/>
      <c r="Q291" s="361"/>
      <c r="R291" s="361"/>
      <c r="S291" s="361"/>
      <c r="T291" s="361"/>
      <c r="U291" s="361"/>
      <c r="V291" s="324"/>
    </row>
    <row r="292" spans="1:22">
      <c r="A292" s="245"/>
      <c r="B292" s="245"/>
      <c r="C292" s="245"/>
      <c r="D292" s="245"/>
      <c r="E292" s="246"/>
      <c r="F292" s="359"/>
      <c r="G292" s="359"/>
      <c r="H292" s="245"/>
      <c r="I292" s="245"/>
      <c r="J292" s="245"/>
      <c r="K292" s="245"/>
      <c r="L292" s="245"/>
      <c r="M292" s="324"/>
      <c r="N292" s="361"/>
      <c r="O292" s="361"/>
      <c r="P292" s="361"/>
      <c r="Q292" s="361"/>
      <c r="R292" s="361"/>
      <c r="S292" s="361"/>
      <c r="T292" s="361"/>
      <c r="U292" s="361"/>
      <c r="V292" s="324"/>
    </row>
    <row r="293" spans="1:22">
      <c r="A293" s="245"/>
      <c r="B293" s="245"/>
      <c r="C293" s="245"/>
      <c r="D293" s="245"/>
      <c r="E293" s="246"/>
      <c r="F293" s="359"/>
      <c r="G293" s="359"/>
      <c r="H293" s="245"/>
      <c r="I293" s="245"/>
      <c r="J293" s="245"/>
      <c r="K293" s="245"/>
      <c r="L293" s="245"/>
      <c r="M293" s="324"/>
      <c r="N293" s="361"/>
      <c r="O293" s="361"/>
      <c r="P293" s="361"/>
      <c r="Q293" s="361"/>
      <c r="R293" s="361"/>
      <c r="S293" s="361"/>
      <c r="T293" s="361"/>
      <c r="U293" s="361"/>
      <c r="V293" s="324"/>
    </row>
    <row r="294" spans="1:22">
      <c r="A294" s="245"/>
      <c r="B294" s="245"/>
      <c r="C294" s="245"/>
      <c r="D294" s="245"/>
      <c r="E294" s="246"/>
      <c r="F294" s="359"/>
      <c r="G294" s="359"/>
      <c r="H294" s="245"/>
      <c r="I294" s="245"/>
      <c r="J294" s="245"/>
      <c r="K294" s="245"/>
      <c r="L294" s="245"/>
      <c r="M294" s="324"/>
      <c r="N294" s="361"/>
      <c r="O294" s="361"/>
      <c r="P294" s="361"/>
      <c r="Q294" s="361"/>
      <c r="R294" s="361"/>
      <c r="S294" s="361"/>
      <c r="T294" s="361"/>
      <c r="U294" s="361"/>
      <c r="V294" s="324"/>
    </row>
    <row r="295" spans="1:22">
      <c r="A295" s="245"/>
      <c r="B295" s="245"/>
      <c r="C295" s="245"/>
      <c r="D295" s="245"/>
      <c r="E295" s="246"/>
      <c r="F295" s="359"/>
      <c r="G295" s="359"/>
      <c r="H295" s="245"/>
      <c r="I295" s="245"/>
      <c r="J295" s="245"/>
      <c r="K295" s="245"/>
      <c r="L295" s="245"/>
      <c r="M295" s="324"/>
      <c r="N295" s="361"/>
      <c r="O295" s="361"/>
      <c r="P295" s="361"/>
      <c r="Q295" s="361"/>
      <c r="R295" s="361"/>
      <c r="S295" s="361"/>
      <c r="T295" s="361"/>
      <c r="U295" s="361"/>
      <c r="V295" s="324"/>
    </row>
    <row r="296" spans="1:22">
      <c r="A296" s="245"/>
      <c r="B296" s="245"/>
      <c r="C296" s="245"/>
      <c r="D296" s="245"/>
      <c r="E296" s="246"/>
      <c r="F296" s="359"/>
      <c r="G296" s="359"/>
      <c r="H296" s="245"/>
      <c r="I296" s="245"/>
      <c r="J296" s="245"/>
      <c r="K296" s="245"/>
      <c r="L296" s="245"/>
      <c r="M296" s="324"/>
      <c r="N296" s="361"/>
      <c r="O296" s="361"/>
      <c r="P296" s="361"/>
      <c r="Q296" s="361"/>
      <c r="R296" s="361"/>
      <c r="S296" s="361"/>
      <c r="T296" s="361"/>
      <c r="U296" s="361"/>
      <c r="V296" s="324"/>
    </row>
    <row r="297" spans="1:22">
      <c r="A297" s="245"/>
      <c r="B297" s="245"/>
      <c r="C297" s="245"/>
      <c r="D297" s="245"/>
      <c r="E297" s="246"/>
      <c r="F297" s="359"/>
      <c r="G297" s="359"/>
      <c r="H297" s="245"/>
      <c r="I297" s="245"/>
      <c r="J297" s="245"/>
      <c r="K297" s="245"/>
      <c r="L297" s="245"/>
      <c r="M297" s="324"/>
      <c r="N297" s="361"/>
      <c r="O297" s="361"/>
      <c r="P297" s="361"/>
      <c r="Q297" s="361"/>
      <c r="R297" s="361"/>
      <c r="S297" s="361"/>
      <c r="T297" s="361"/>
      <c r="U297" s="361"/>
      <c r="V297" s="324"/>
    </row>
    <row r="298" spans="1:22">
      <c r="A298" s="245"/>
      <c r="B298" s="245"/>
      <c r="C298" s="245"/>
      <c r="D298" s="245"/>
      <c r="E298" s="246"/>
      <c r="F298" s="359"/>
      <c r="G298" s="359"/>
      <c r="H298" s="245"/>
      <c r="I298" s="245"/>
      <c r="J298" s="245"/>
      <c r="K298" s="245"/>
      <c r="L298" s="245"/>
      <c r="M298" s="324"/>
      <c r="N298" s="361"/>
      <c r="O298" s="361"/>
      <c r="P298" s="361"/>
      <c r="Q298" s="361"/>
      <c r="R298" s="361"/>
      <c r="S298" s="361"/>
      <c r="T298" s="361"/>
      <c r="U298" s="361"/>
      <c r="V298" s="324"/>
    </row>
    <row r="299" spans="1:22">
      <c r="A299" s="245"/>
      <c r="B299" s="245"/>
      <c r="C299" s="245"/>
      <c r="D299" s="245"/>
      <c r="E299" s="246"/>
      <c r="F299" s="359"/>
      <c r="G299" s="359"/>
      <c r="H299" s="245"/>
      <c r="I299" s="245"/>
      <c r="J299" s="245"/>
      <c r="K299" s="245"/>
      <c r="L299" s="245"/>
      <c r="M299" s="324"/>
      <c r="N299" s="361"/>
      <c r="O299" s="361"/>
      <c r="P299" s="361"/>
      <c r="Q299" s="361"/>
      <c r="R299" s="361"/>
      <c r="S299" s="361"/>
      <c r="T299" s="361"/>
      <c r="U299" s="361"/>
      <c r="V299" s="324"/>
    </row>
    <row r="300" spans="1:22">
      <c r="A300" s="245"/>
      <c r="B300" s="245"/>
      <c r="C300" s="245"/>
      <c r="D300" s="245"/>
      <c r="E300" s="246"/>
      <c r="F300" s="359"/>
      <c r="G300" s="359"/>
      <c r="H300" s="245"/>
      <c r="I300" s="245"/>
      <c r="J300" s="245"/>
      <c r="K300" s="245"/>
      <c r="L300" s="245"/>
      <c r="M300" s="324"/>
      <c r="N300" s="361"/>
      <c r="O300" s="361"/>
      <c r="P300" s="361"/>
      <c r="Q300" s="361"/>
      <c r="R300" s="361"/>
      <c r="S300" s="361"/>
      <c r="T300" s="361"/>
      <c r="U300" s="361"/>
      <c r="V300" s="324"/>
    </row>
    <row r="301" spans="1:22">
      <c r="A301" s="245"/>
      <c r="B301" s="245"/>
      <c r="C301" s="245"/>
      <c r="D301" s="245"/>
      <c r="E301" s="246"/>
      <c r="F301" s="359"/>
      <c r="G301" s="359"/>
      <c r="H301" s="245"/>
      <c r="I301" s="245"/>
      <c r="J301" s="245"/>
      <c r="K301" s="245"/>
      <c r="L301" s="245"/>
      <c r="M301" s="324"/>
      <c r="N301" s="361"/>
      <c r="O301" s="361"/>
      <c r="P301" s="361"/>
      <c r="Q301" s="361"/>
      <c r="R301" s="361"/>
      <c r="S301" s="361"/>
      <c r="T301" s="361"/>
      <c r="U301" s="361"/>
      <c r="V301" s="324"/>
    </row>
    <row r="302" spans="1:22">
      <c r="A302" s="245"/>
      <c r="B302" s="245"/>
      <c r="C302" s="245"/>
      <c r="D302" s="245"/>
      <c r="E302" s="246"/>
      <c r="F302" s="359"/>
      <c r="G302" s="359"/>
      <c r="H302" s="245"/>
      <c r="I302" s="245"/>
      <c r="J302" s="245"/>
      <c r="K302" s="245"/>
      <c r="L302" s="245"/>
      <c r="M302" s="324"/>
      <c r="N302" s="361"/>
      <c r="O302" s="361"/>
      <c r="P302" s="361"/>
      <c r="Q302" s="361"/>
      <c r="R302" s="361"/>
      <c r="S302" s="361"/>
      <c r="T302" s="361"/>
      <c r="U302" s="361"/>
      <c r="V302" s="324"/>
    </row>
    <row r="303" spans="1:22">
      <c r="A303" s="245"/>
      <c r="B303" s="245"/>
      <c r="C303" s="245"/>
      <c r="D303" s="245"/>
      <c r="E303" s="246"/>
      <c r="F303" s="359"/>
      <c r="G303" s="359"/>
      <c r="H303" s="245"/>
      <c r="I303" s="245"/>
      <c r="J303" s="245"/>
      <c r="K303" s="245"/>
      <c r="L303" s="245"/>
      <c r="M303" s="324"/>
      <c r="N303" s="361"/>
      <c r="O303" s="361"/>
      <c r="P303" s="361"/>
      <c r="Q303" s="361"/>
      <c r="R303" s="361"/>
      <c r="S303" s="361"/>
      <c r="T303" s="361"/>
      <c r="U303" s="361"/>
      <c r="V303" s="324"/>
    </row>
    <row r="304" spans="1:22">
      <c r="A304" s="245"/>
      <c r="B304" s="245"/>
      <c r="C304" s="245"/>
      <c r="D304" s="245"/>
      <c r="E304" s="246"/>
      <c r="F304" s="359"/>
      <c r="G304" s="359"/>
      <c r="H304" s="245"/>
      <c r="I304" s="245"/>
      <c r="J304" s="245"/>
      <c r="K304" s="245"/>
      <c r="L304" s="245"/>
      <c r="M304" s="324"/>
      <c r="N304" s="361"/>
      <c r="O304" s="361"/>
      <c r="P304" s="361"/>
      <c r="Q304" s="361"/>
      <c r="R304" s="361"/>
      <c r="S304" s="361"/>
      <c r="T304" s="361"/>
      <c r="U304" s="361"/>
      <c r="V304" s="324"/>
    </row>
    <row r="305" spans="1:22">
      <c r="A305" s="245"/>
      <c r="B305" s="245"/>
      <c r="C305" s="245"/>
      <c r="D305" s="245"/>
      <c r="E305" s="246"/>
      <c r="F305" s="359"/>
      <c r="G305" s="359"/>
      <c r="H305" s="245"/>
      <c r="I305" s="245"/>
      <c r="J305" s="245"/>
      <c r="K305" s="245"/>
      <c r="L305" s="245"/>
      <c r="M305" s="324"/>
      <c r="N305" s="361"/>
      <c r="O305" s="361"/>
      <c r="P305" s="361"/>
      <c r="Q305" s="361"/>
      <c r="R305" s="361"/>
      <c r="S305" s="361"/>
      <c r="T305" s="361"/>
      <c r="U305" s="361"/>
      <c r="V305" s="324"/>
    </row>
    <row r="306" spans="1:22">
      <c r="A306" s="245"/>
      <c r="B306" s="245"/>
      <c r="C306" s="245"/>
      <c r="D306" s="245"/>
      <c r="E306" s="246"/>
      <c r="F306" s="359"/>
      <c r="G306" s="359"/>
      <c r="H306" s="245"/>
      <c r="I306" s="245"/>
      <c r="J306" s="245"/>
      <c r="K306" s="245"/>
      <c r="L306" s="245"/>
      <c r="M306" s="324"/>
      <c r="N306" s="361"/>
      <c r="O306" s="361"/>
      <c r="P306" s="361"/>
      <c r="Q306" s="361"/>
      <c r="R306" s="361"/>
      <c r="S306" s="361"/>
      <c r="T306" s="361"/>
      <c r="U306" s="361"/>
      <c r="V306" s="324"/>
    </row>
    <row r="307" spans="1:22">
      <c r="A307" s="245"/>
      <c r="B307" s="245"/>
      <c r="C307" s="245"/>
      <c r="D307" s="245"/>
      <c r="E307" s="246"/>
      <c r="F307" s="359"/>
      <c r="G307" s="359"/>
      <c r="H307" s="245"/>
      <c r="I307" s="245"/>
      <c r="J307" s="245"/>
      <c r="K307" s="245"/>
      <c r="L307" s="245"/>
      <c r="M307" s="324"/>
      <c r="N307" s="361"/>
      <c r="O307" s="361"/>
      <c r="P307" s="361"/>
      <c r="Q307" s="361"/>
      <c r="R307" s="361"/>
      <c r="S307" s="361"/>
      <c r="T307" s="361"/>
      <c r="U307" s="361"/>
      <c r="V307" s="324"/>
    </row>
    <row r="308" spans="1:22">
      <c r="A308" s="245"/>
      <c r="B308" s="245"/>
      <c r="C308" s="245"/>
      <c r="D308" s="245"/>
      <c r="E308" s="246"/>
      <c r="F308" s="359"/>
      <c r="G308" s="359"/>
      <c r="H308" s="245"/>
      <c r="I308" s="245"/>
      <c r="J308" s="245"/>
      <c r="K308" s="245"/>
      <c r="L308" s="245"/>
      <c r="M308" s="324"/>
      <c r="N308" s="361"/>
      <c r="O308" s="361"/>
      <c r="P308" s="361"/>
      <c r="Q308" s="361"/>
      <c r="R308" s="361"/>
      <c r="S308" s="361"/>
      <c r="T308" s="361"/>
      <c r="U308" s="361"/>
      <c r="V308" s="324"/>
    </row>
    <row r="309" spans="1:22">
      <c r="A309" s="245"/>
      <c r="B309" s="245"/>
      <c r="C309" s="245"/>
      <c r="D309" s="245"/>
      <c r="E309" s="246"/>
      <c r="F309" s="359"/>
      <c r="G309" s="359"/>
      <c r="H309" s="245"/>
      <c r="I309" s="245"/>
      <c r="J309" s="245"/>
      <c r="K309" s="245"/>
      <c r="L309" s="245"/>
      <c r="M309" s="324"/>
      <c r="N309" s="361"/>
      <c r="O309" s="361"/>
      <c r="P309" s="361"/>
      <c r="Q309" s="361"/>
      <c r="R309" s="361"/>
      <c r="S309" s="361"/>
      <c r="T309" s="361"/>
      <c r="U309" s="361"/>
      <c r="V309" s="324"/>
    </row>
    <row r="310" spans="1:22">
      <c r="A310" s="245"/>
      <c r="B310" s="245"/>
      <c r="C310" s="245"/>
      <c r="D310" s="245"/>
      <c r="E310" s="246"/>
      <c r="F310" s="359"/>
      <c r="G310" s="359"/>
      <c r="H310" s="245"/>
      <c r="I310" s="245"/>
      <c r="J310" s="245"/>
      <c r="K310" s="245"/>
      <c r="L310" s="245"/>
      <c r="M310" s="324"/>
      <c r="N310" s="361"/>
      <c r="O310" s="361"/>
      <c r="P310" s="361"/>
      <c r="Q310" s="361"/>
      <c r="R310" s="361"/>
      <c r="S310" s="361"/>
      <c r="T310" s="361"/>
      <c r="U310" s="361"/>
      <c r="V310" s="324"/>
    </row>
    <row r="311" spans="1:22">
      <c r="A311" s="245"/>
      <c r="B311" s="245"/>
      <c r="C311" s="245"/>
      <c r="D311" s="245"/>
      <c r="E311" s="246"/>
      <c r="F311" s="359"/>
      <c r="G311" s="359"/>
      <c r="H311" s="245"/>
      <c r="I311" s="245"/>
      <c r="J311" s="245"/>
      <c r="K311" s="245"/>
      <c r="L311" s="245"/>
      <c r="M311" s="324"/>
      <c r="N311" s="361"/>
      <c r="O311" s="361"/>
      <c r="P311" s="361"/>
      <c r="Q311" s="361"/>
      <c r="R311" s="361"/>
      <c r="S311" s="361"/>
      <c r="T311" s="361"/>
      <c r="U311" s="361"/>
      <c r="V311" s="324"/>
    </row>
    <row r="312" spans="1:22">
      <c r="A312" s="245"/>
      <c r="B312" s="245"/>
      <c r="C312" s="245"/>
      <c r="D312" s="245"/>
      <c r="E312" s="246"/>
      <c r="F312" s="359"/>
      <c r="G312" s="359"/>
      <c r="H312" s="245"/>
      <c r="I312" s="245"/>
      <c r="J312" s="245"/>
      <c r="K312" s="245"/>
      <c r="L312" s="245"/>
      <c r="M312" s="324"/>
      <c r="N312" s="361"/>
      <c r="O312" s="361"/>
      <c r="P312" s="361"/>
      <c r="Q312" s="361"/>
      <c r="R312" s="361"/>
      <c r="S312" s="361"/>
      <c r="T312" s="361"/>
      <c r="U312" s="361"/>
      <c r="V312" s="324"/>
    </row>
    <row r="313" spans="1:22">
      <c r="A313" s="245"/>
      <c r="B313" s="245"/>
      <c r="C313" s="245"/>
      <c r="D313" s="245"/>
      <c r="E313" s="246"/>
      <c r="F313" s="359"/>
      <c r="G313" s="359"/>
      <c r="H313" s="245"/>
      <c r="I313" s="245"/>
      <c r="J313" s="245"/>
      <c r="K313" s="245"/>
      <c r="L313" s="245"/>
      <c r="M313" s="324"/>
      <c r="N313" s="361"/>
      <c r="O313" s="361"/>
      <c r="P313" s="361"/>
      <c r="Q313" s="361"/>
      <c r="R313" s="361"/>
      <c r="S313" s="361"/>
      <c r="T313" s="361"/>
      <c r="U313" s="361"/>
      <c r="V313" s="324"/>
    </row>
    <row r="314" spans="1:22">
      <c r="A314" s="245"/>
      <c r="B314" s="245"/>
      <c r="C314" s="245"/>
      <c r="D314" s="245"/>
      <c r="E314" s="246"/>
      <c r="F314" s="359"/>
      <c r="G314" s="359"/>
      <c r="H314" s="245"/>
      <c r="I314" s="245"/>
      <c r="J314" s="245"/>
      <c r="K314" s="245"/>
      <c r="L314" s="245"/>
      <c r="M314" s="324"/>
      <c r="N314" s="361"/>
      <c r="O314" s="361"/>
      <c r="P314" s="361"/>
      <c r="Q314" s="361"/>
      <c r="R314" s="361"/>
      <c r="S314" s="361"/>
      <c r="T314" s="361"/>
      <c r="U314" s="361"/>
      <c r="V314" s="324"/>
    </row>
    <row r="315" spans="1:22">
      <c r="A315" s="245"/>
      <c r="B315" s="245"/>
      <c r="C315" s="245"/>
      <c r="D315" s="245"/>
      <c r="E315" s="246"/>
      <c r="F315" s="359"/>
      <c r="G315" s="359"/>
      <c r="H315" s="245"/>
      <c r="I315" s="245"/>
      <c r="J315" s="245"/>
      <c r="K315" s="245"/>
      <c r="L315" s="245"/>
      <c r="N315" s="303"/>
      <c r="O315" s="303"/>
      <c r="P315" s="303"/>
      <c r="Q315" s="303"/>
      <c r="R315" s="303"/>
      <c r="S315" s="303"/>
      <c r="T315" s="303"/>
      <c r="U315" s="303"/>
    </row>
    <row r="316" spans="1:22">
      <c r="A316" s="245"/>
      <c r="B316" s="245"/>
      <c r="C316" s="245"/>
      <c r="D316" s="245"/>
      <c r="E316" s="246"/>
      <c r="F316" s="359"/>
      <c r="G316" s="359"/>
      <c r="H316" s="245"/>
      <c r="I316" s="245"/>
      <c r="J316" s="245"/>
      <c r="K316" s="245"/>
      <c r="L316" s="245"/>
      <c r="N316" s="303"/>
      <c r="O316" s="303"/>
      <c r="P316" s="303"/>
      <c r="Q316" s="303"/>
      <c r="R316" s="303"/>
      <c r="S316" s="303"/>
      <c r="T316" s="303"/>
      <c r="U316" s="303"/>
    </row>
    <row r="317" spans="1:22">
      <c r="A317" s="245"/>
      <c r="B317" s="245"/>
      <c r="C317" s="245"/>
      <c r="D317" s="245"/>
      <c r="E317" s="246"/>
      <c r="F317" s="359"/>
      <c r="G317" s="359"/>
      <c r="H317" s="245"/>
      <c r="I317" s="245"/>
      <c r="J317" s="245"/>
      <c r="K317" s="245"/>
      <c r="L317" s="245"/>
      <c r="N317" s="303"/>
      <c r="O317" s="303"/>
      <c r="P317" s="303"/>
      <c r="Q317" s="303"/>
      <c r="R317" s="303"/>
      <c r="S317" s="303"/>
      <c r="T317" s="303"/>
      <c r="U317" s="303"/>
    </row>
    <row r="318" spans="1:22">
      <c r="A318" s="245"/>
      <c r="B318" s="245"/>
      <c r="C318" s="245"/>
      <c r="D318" s="245"/>
      <c r="E318" s="246"/>
      <c r="F318" s="359"/>
      <c r="G318" s="359"/>
      <c r="H318" s="245"/>
      <c r="I318" s="245"/>
      <c r="J318" s="245"/>
      <c r="K318" s="245"/>
      <c r="L318" s="245"/>
      <c r="N318" s="303"/>
      <c r="O318" s="303"/>
      <c r="P318" s="303"/>
      <c r="Q318" s="303"/>
      <c r="R318" s="303"/>
      <c r="S318" s="303"/>
      <c r="T318" s="303"/>
      <c r="U318" s="303"/>
    </row>
    <row r="319" spans="1:22">
      <c r="A319" s="245"/>
      <c r="B319" s="245"/>
      <c r="C319" s="245"/>
      <c r="D319" s="245"/>
      <c r="E319" s="246"/>
      <c r="F319" s="359"/>
      <c r="G319" s="359"/>
      <c r="H319" s="245"/>
      <c r="I319" s="245"/>
      <c r="J319" s="245"/>
      <c r="K319" s="245"/>
      <c r="L319" s="245"/>
      <c r="N319" s="303"/>
      <c r="O319" s="303"/>
      <c r="P319" s="303"/>
      <c r="Q319" s="303"/>
      <c r="R319" s="303"/>
      <c r="S319" s="303"/>
      <c r="T319" s="303"/>
      <c r="U319" s="303"/>
    </row>
    <row r="320" spans="1:22">
      <c r="A320" s="245"/>
      <c r="B320" s="245"/>
      <c r="C320" s="245"/>
      <c r="D320" s="245"/>
      <c r="E320" s="246"/>
      <c r="F320" s="359"/>
      <c r="G320" s="359"/>
      <c r="H320" s="245"/>
      <c r="I320" s="245"/>
      <c r="J320" s="245"/>
      <c r="K320" s="245"/>
      <c r="L320" s="245"/>
      <c r="N320" s="303"/>
      <c r="O320" s="303"/>
      <c r="P320" s="303"/>
      <c r="Q320" s="303"/>
      <c r="R320" s="303"/>
      <c r="S320" s="303"/>
      <c r="T320" s="303"/>
      <c r="U320" s="303"/>
    </row>
    <row r="321" spans="1:21">
      <c r="A321" s="245"/>
      <c r="B321" s="245"/>
      <c r="C321" s="245"/>
      <c r="D321" s="245"/>
      <c r="E321" s="246"/>
      <c r="F321" s="359"/>
      <c r="G321" s="359"/>
      <c r="H321" s="245"/>
      <c r="I321" s="245"/>
      <c r="J321" s="245"/>
      <c r="K321" s="245"/>
      <c r="L321" s="245"/>
      <c r="N321" s="303"/>
      <c r="O321" s="303"/>
      <c r="P321" s="303"/>
      <c r="Q321" s="303"/>
      <c r="R321" s="303"/>
      <c r="S321" s="303"/>
      <c r="T321" s="303"/>
      <c r="U321" s="303"/>
    </row>
    <row r="322" spans="1:21">
      <c r="A322" s="245"/>
      <c r="B322" s="245"/>
      <c r="C322" s="245"/>
      <c r="D322" s="245"/>
      <c r="E322" s="246"/>
      <c r="F322" s="359"/>
      <c r="G322" s="359"/>
      <c r="H322" s="245"/>
      <c r="I322" s="245"/>
      <c r="J322" s="245"/>
      <c r="K322" s="245"/>
      <c r="L322" s="245"/>
      <c r="N322" s="303"/>
      <c r="O322" s="303"/>
      <c r="P322" s="303"/>
      <c r="Q322" s="303"/>
      <c r="R322" s="303"/>
      <c r="S322" s="303"/>
      <c r="T322" s="303"/>
      <c r="U322" s="303"/>
    </row>
    <row r="323" spans="1:21">
      <c r="A323" s="245"/>
      <c r="B323" s="245"/>
      <c r="C323" s="245"/>
      <c r="D323" s="245"/>
      <c r="E323" s="246"/>
      <c r="F323" s="359"/>
      <c r="G323" s="359"/>
      <c r="H323" s="245"/>
      <c r="I323" s="245"/>
      <c r="J323" s="245"/>
      <c r="K323" s="245"/>
      <c r="L323" s="245"/>
      <c r="N323" s="303"/>
      <c r="O323" s="303"/>
      <c r="P323" s="303"/>
      <c r="Q323" s="303"/>
      <c r="R323" s="303"/>
      <c r="S323" s="303"/>
      <c r="T323" s="303"/>
      <c r="U323" s="303"/>
    </row>
    <row r="324" spans="1:21">
      <c r="A324" s="245"/>
      <c r="B324" s="245"/>
      <c r="C324" s="245"/>
      <c r="D324" s="245"/>
      <c r="E324" s="246"/>
      <c r="F324" s="359"/>
      <c r="G324" s="359"/>
      <c r="H324" s="245"/>
      <c r="I324" s="245"/>
      <c r="J324" s="245"/>
      <c r="K324" s="245"/>
      <c r="L324" s="245"/>
      <c r="N324" s="303"/>
      <c r="O324" s="303"/>
      <c r="P324" s="303"/>
      <c r="Q324" s="303"/>
      <c r="R324" s="303"/>
      <c r="S324" s="303"/>
      <c r="T324" s="303"/>
      <c r="U324" s="303"/>
    </row>
    <row r="325" spans="1:21">
      <c r="A325" s="245"/>
      <c r="B325" s="245"/>
      <c r="C325" s="245"/>
      <c r="D325" s="245"/>
      <c r="E325" s="246"/>
      <c r="F325" s="359"/>
      <c r="G325" s="359"/>
      <c r="H325" s="245"/>
      <c r="I325" s="245"/>
      <c r="J325" s="245"/>
      <c r="K325" s="245"/>
      <c r="L325" s="245"/>
      <c r="N325" s="303"/>
      <c r="O325" s="303"/>
      <c r="P325" s="303"/>
      <c r="Q325" s="303"/>
      <c r="R325" s="303"/>
      <c r="S325" s="303"/>
      <c r="T325" s="303"/>
      <c r="U325" s="303"/>
    </row>
    <row r="326" spans="1:21">
      <c r="A326" s="245"/>
      <c r="B326" s="245"/>
      <c r="C326" s="245"/>
      <c r="D326" s="245"/>
      <c r="E326" s="246"/>
      <c r="F326" s="359"/>
      <c r="G326" s="359"/>
      <c r="H326" s="245"/>
      <c r="I326" s="245"/>
      <c r="J326" s="245"/>
      <c r="K326" s="245"/>
      <c r="L326" s="245"/>
      <c r="N326" s="303"/>
      <c r="O326" s="303"/>
      <c r="P326" s="303"/>
      <c r="Q326" s="303"/>
      <c r="R326" s="303"/>
      <c r="S326" s="303"/>
      <c r="T326" s="303"/>
      <c r="U326" s="303"/>
    </row>
  </sheetData>
  <sheetProtection algorithmName="SHA-512" hashValue="i2hmcMT3CS9m4JGb5KpFj9gAYlS24HN5ovO2Wbn9wE7aRKEmCwf0HIblDdImyT2puioi/62mVGjK3dIwHGf89g==" saltValue="Yo3bgt27UlmwI1M5ejRFXw==" spinCount="100000" sheet="1" objects="1" scenarios="1"/>
  <mergeCells count="118">
    <mergeCell ref="AB9:AD9"/>
    <mergeCell ref="M1:M2"/>
    <mergeCell ref="C3:D3"/>
    <mergeCell ref="C4:D4"/>
    <mergeCell ref="C5:D5"/>
    <mergeCell ref="C6:F6"/>
    <mergeCell ref="U6:U9"/>
    <mergeCell ref="C17:D17"/>
    <mergeCell ref="U17:U18"/>
    <mergeCell ref="C18:D18"/>
    <mergeCell ref="B9:K9"/>
    <mergeCell ref="B19:B20"/>
    <mergeCell ref="C19:D19"/>
    <mergeCell ref="U19:U20"/>
    <mergeCell ref="C20:D20"/>
    <mergeCell ref="U13:U14"/>
    <mergeCell ref="C15:D15"/>
    <mergeCell ref="U15:U16"/>
    <mergeCell ref="C16:D16"/>
    <mergeCell ref="F30:J30"/>
    <mergeCell ref="B21:B22"/>
    <mergeCell ref="C21:D21"/>
    <mergeCell ref="U21:U22"/>
    <mergeCell ref="C22:D22"/>
    <mergeCell ref="C24:D24"/>
    <mergeCell ref="C25:D25"/>
    <mergeCell ref="C26:D26"/>
    <mergeCell ref="C41:D41"/>
    <mergeCell ref="C42:D42"/>
    <mergeCell ref="C43:D43"/>
    <mergeCell ref="B44:B45"/>
    <mergeCell ref="C44:D44"/>
    <mergeCell ref="C45:D45"/>
    <mergeCell ref="C27:D27"/>
    <mergeCell ref="C28:D28"/>
    <mergeCell ref="C30:D30"/>
    <mergeCell ref="F50:J50"/>
    <mergeCell ref="F51:K51"/>
    <mergeCell ref="C61:D61"/>
    <mergeCell ref="C62:D62"/>
    <mergeCell ref="C63:D63"/>
    <mergeCell ref="C64:D64"/>
    <mergeCell ref="B46:B47"/>
    <mergeCell ref="C46:D46"/>
    <mergeCell ref="C47:D47"/>
    <mergeCell ref="H76:J76"/>
    <mergeCell ref="D77:K78"/>
    <mergeCell ref="H79:J79"/>
    <mergeCell ref="D84:K85"/>
    <mergeCell ref="B87:K90"/>
    <mergeCell ref="C94:D94"/>
    <mergeCell ref="C65:D65"/>
    <mergeCell ref="C66:D66"/>
    <mergeCell ref="D71:K72"/>
    <mergeCell ref="H73:J73"/>
    <mergeCell ref="D74:K75"/>
    <mergeCell ref="H130:J130"/>
    <mergeCell ref="B162:K165"/>
    <mergeCell ref="C169:D169"/>
    <mergeCell ref="C170:D170"/>
    <mergeCell ref="C171:D171"/>
    <mergeCell ref="C95:D95"/>
    <mergeCell ref="C96:D96"/>
    <mergeCell ref="C97:F97"/>
    <mergeCell ref="B100:K100"/>
    <mergeCell ref="D102:K129"/>
    <mergeCell ref="B106:B107"/>
    <mergeCell ref="B108:B109"/>
    <mergeCell ref="D134:K157"/>
    <mergeCell ref="C180:D180"/>
    <mergeCell ref="C181:D181"/>
    <mergeCell ref="C182:D182"/>
    <mergeCell ref="C183:D183"/>
    <mergeCell ref="B184:B185"/>
    <mergeCell ref="C184:D184"/>
    <mergeCell ref="C185:D185"/>
    <mergeCell ref="C172:F172"/>
    <mergeCell ref="B175:K175"/>
    <mergeCell ref="H177:I177"/>
    <mergeCell ref="J177:K177"/>
    <mergeCell ref="H178:I178"/>
    <mergeCell ref="J178:K178"/>
    <mergeCell ref="C193:D193"/>
    <mergeCell ref="C195:D195"/>
    <mergeCell ref="F195:J195"/>
    <mergeCell ref="H204:I204"/>
    <mergeCell ref="J204:K204"/>
    <mergeCell ref="C206:D206"/>
    <mergeCell ref="B186:B187"/>
    <mergeCell ref="C186:D186"/>
    <mergeCell ref="C187:D187"/>
    <mergeCell ref="C189:D189"/>
    <mergeCell ref="C190:D190"/>
    <mergeCell ref="C192:D192"/>
    <mergeCell ref="C191:D191"/>
    <mergeCell ref="C215:D215"/>
    <mergeCell ref="F215:J215"/>
    <mergeCell ref="H222:J222"/>
    <mergeCell ref="C207:D207"/>
    <mergeCell ref="C208:D208"/>
    <mergeCell ref="B209:B210"/>
    <mergeCell ref="C209:D209"/>
    <mergeCell ref="C210:D210"/>
    <mergeCell ref="B211:B212"/>
    <mergeCell ref="C211:D211"/>
    <mergeCell ref="C212:D212"/>
    <mergeCell ref="D241:K242"/>
    <mergeCell ref="H243:J243"/>
    <mergeCell ref="D244:K245"/>
    <mergeCell ref="H246:J246"/>
    <mergeCell ref="D251:K252"/>
    <mergeCell ref="B256:K259"/>
    <mergeCell ref="D227:K228"/>
    <mergeCell ref="H229:J229"/>
    <mergeCell ref="D231:K231"/>
    <mergeCell ref="B232:K232"/>
    <mergeCell ref="D238:K239"/>
    <mergeCell ref="H240:J240"/>
  </mergeCells>
  <conditionalFormatting sqref="N16:N17">
    <cfRule type="expression" dxfId="4" priority="5">
      <formula>AND(#REF!="aislone",#REF!="capa fina")</formula>
    </cfRule>
  </conditionalFormatting>
  <conditionalFormatting sqref="Q16:Q17">
    <cfRule type="expression" dxfId="3" priority="4">
      <formula>AND(#REF!="aislone",#REF!="capa fina")</formula>
    </cfRule>
  </conditionalFormatting>
  <conditionalFormatting sqref="N18:N19">
    <cfRule type="expression" dxfId="2" priority="3">
      <formula>#REF!="webertherm clima"</formula>
    </cfRule>
  </conditionalFormatting>
  <conditionalFormatting sqref="N43">
    <cfRule type="expression" dxfId="1" priority="2">
      <formula>AND(#REF!="aislone",#REF!="capa fina")</formula>
    </cfRule>
  </conditionalFormatting>
  <conditionalFormatting sqref="N44">
    <cfRule type="expression" dxfId="0" priority="1">
      <formula>#REF!="webertherm clima"</formula>
    </cfRule>
  </conditionalFormatting>
  <dataValidations count="2">
    <dataValidation type="list" allowBlank="1" showInputMessage="1" showErrorMessage="1" sqref="C118" xr:uid="{00000000-0002-0000-0600-000001000000}">
      <formula1>$B$244:$B$245</formula1>
    </dataValidation>
    <dataValidation type="list" allowBlank="1" showInputMessage="1" showErrorMessage="1" sqref="G15" xr:uid="{00000000-0002-0000-0600-000002000000}">
      <formula1>$W$14:$W$15</formula1>
    </dataValidation>
  </dataValidations>
  <hyperlinks>
    <hyperlink ref="M1:M2" location="FACHADAS!A1" display="INICIO" xr:uid="{00000000-0004-0000-0600-000000000000}"/>
  </hyperlinks>
  <pageMargins left="0.23622047244094491" right="0.23622047244094491" top="0.74803149606299213" bottom="0.74803149606299213" header="0.31496062992125984" footer="0.31496062992125984"/>
  <pageSetup paperSize="9" scale="56" orientation="portrait" horizontalDpi="1200" verticalDpi="1200" r:id="rId1"/>
  <headerFooter>
    <oddFooter>&amp;C&amp;"Weber,Normal"&amp;9&amp;K01+049Saint-Gobain Weber Cemarksa, S.A.
www.es.weber</oddFooter>
  </headerFooter>
  <drawing r:id="rId2"/>
  <legacyDrawing r:id="rId3"/>
  <extLst>
    <ext xmlns:x14="http://schemas.microsoft.com/office/spreadsheetml/2009/9/main" uri="{CCE6A557-97BC-4b89-ADB6-D9C93CAAB3DF}">
      <x14:dataValidations xmlns:xm="http://schemas.microsoft.com/office/excel/2006/main" count="20">
        <x14:dataValidation type="list" allowBlank="1" showInputMessage="1" showErrorMessage="1" xr:uid="{00000000-0002-0000-0600-000006000000}">
          <x14:formula1>
            <xm:f>'Listas-2'!$B$125:$B$159</xm:f>
          </x14:formula1>
          <xm:sqref>C18:D18</xm:sqref>
        </x14:dataValidation>
        <x14:dataValidation type="list" allowBlank="1" showInputMessage="1" showErrorMessage="1" xr:uid="{F083671A-E402-4A40-BD4C-C24C22FFC074}">
          <x14:formula1>
            <xm:f>'Listas-2'!$B$244:$B$248</xm:f>
          </x14:formula1>
          <xm:sqref>C28:D28</xm:sqref>
        </x14:dataValidation>
        <x14:dataValidation type="list" allowBlank="1" showInputMessage="1" showErrorMessage="1" xr:uid="{00000000-0002-0000-0600-00000B000000}">
          <x14:formula1>
            <xm:f>'Listas-2'!$B$192:$B$193</xm:f>
          </x14:formula1>
          <xm:sqref>C25:D25</xm:sqref>
        </x14:dataValidation>
        <x14:dataValidation type="list" allowBlank="1" showInputMessage="1" showErrorMessage="1" xr:uid="{00000000-0002-0000-0600-00000E000000}">
          <x14:formula1>
            <xm:f>'Listas-1'!$AB$13:$AB$24</xm:f>
          </x14:formula1>
          <xm:sqref>C60:D60 C121</xm:sqref>
        </x14:dataValidation>
        <x14:dataValidation type="list" allowBlank="1" showInputMessage="1" showErrorMessage="1" xr:uid="{00000000-0002-0000-0600-00000F000000}">
          <x14:formula1>
            <xm:f>'Listas-2'!$B$64:$B$96</xm:f>
          </x14:formula1>
          <xm:sqref>C17:D17</xm:sqref>
        </x14:dataValidation>
        <x14:dataValidation type="list" allowBlank="1" showInputMessage="1" showErrorMessage="1" xr:uid="{00000000-0002-0000-0600-000012000000}">
          <x14:formula1>
            <xm:f>'Listas-2'!#REF!</xm:f>
          </x14:formula1>
          <xm:sqref>C119</xm:sqref>
        </x14:dataValidation>
        <x14:dataValidation type="list" allowBlank="1" showInputMessage="1" showErrorMessage="1" xr:uid="{00000000-0002-0000-0600-000013000000}">
          <x14:formula1>
            <xm:f>'Listas-2'!$B$196:$B$234</xm:f>
          </x14:formula1>
          <xm:sqref>C122 C61:D64</xm:sqref>
        </x14:dataValidation>
        <x14:dataValidation type="list" allowBlank="1" showInputMessage="1" showErrorMessage="1" xr:uid="{DA7E081D-3E64-4549-A035-B345CBA9BF5B}">
          <x14:formula1>
            <xm:f>'Listas-2'!$B$263:$B$265</xm:f>
          </x14:formula1>
          <xm:sqref>C66:D66</xm:sqref>
        </x14:dataValidation>
        <x14:dataValidation type="list" allowBlank="1" showInputMessage="1" showErrorMessage="1" xr:uid="{FE491B18-AA96-45A2-8454-E03B14B6CAB2}">
          <x14:formula1>
            <xm:f>'Listas-2'!$B$250:$B$261</xm:f>
          </x14:formula1>
          <xm:sqref>C65:D65</xm:sqref>
        </x14:dataValidation>
        <x14:dataValidation type="list" allowBlank="1" showInputMessage="1" showErrorMessage="1" xr:uid="{00000000-0002-0000-0600-000019000000}">
          <x14:formula1>
            <xm:f>'Listas-2'!$B$125:$B$161</xm:f>
          </x14:formula1>
          <xm:sqref>C43:D43</xm:sqref>
        </x14:dataValidation>
        <x14:dataValidation type="list" allowBlank="1" showInputMessage="1" showErrorMessage="1" xr:uid="{00000000-0002-0000-0600-00001D000000}">
          <x14:formula1>
            <xm:f>'Listas-2'!$B$12:$B$111</xm:f>
          </x14:formula1>
          <xm:sqref>C42:D42</xm:sqref>
        </x14:dataValidation>
        <x14:dataValidation type="list" allowBlank="1" showInputMessage="1" showErrorMessage="1" xr:uid="{00000000-0002-0000-0600-000017000000}">
          <x14:formula1>
            <xm:f>'Listas-2'!$B$168:$B$171</xm:f>
          </x14:formula1>
          <xm:sqref>C45:D45</xm:sqref>
        </x14:dataValidation>
        <x14:dataValidation type="list" allowBlank="1" showInputMessage="1" showErrorMessage="1" xr:uid="{00000000-0002-0000-0600-00001B000000}">
          <x14:formula1>
            <xm:f>'Listas-2'!$B$168:$B$168</xm:f>
          </x14:formula1>
          <xm:sqref>C20:D20</xm:sqref>
        </x14:dataValidation>
        <x14:dataValidation type="list" allowBlank="1" showInputMessage="1" showErrorMessage="1" xr:uid="{00000000-0002-0000-0600-000005000000}">
          <x14:formula1>
            <xm:f>'Listas-2'!$B$174:$B$175</xm:f>
          </x14:formula1>
          <xm:sqref>C46:D46 C21:D21</xm:sqref>
        </x14:dataValidation>
        <x14:dataValidation type="list" allowBlank="1" showInputMessage="1" showErrorMessage="1" xr:uid="{00000000-0002-0000-0600-00001C000000}">
          <x14:formula1>
            <xm:f>'Listas-2'!$B$177:$B$181</xm:f>
          </x14:formula1>
          <xm:sqref>C22:D22 C47:D47</xm:sqref>
        </x14:dataValidation>
        <x14:dataValidation type="list" allowBlank="1" showInputMessage="1" showErrorMessage="1" xr:uid="{00000000-0002-0000-0600-000004000000}">
          <x14:formula1>
            <xm:f>'Listas-2'!$B$117:$B$118</xm:f>
          </x14:formula1>
          <xm:sqref>C44:D44 C41:D41 C19:D19 C16:D16</xm:sqref>
        </x14:dataValidation>
        <x14:dataValidation type="list" allowBlank="1" showInputMessage="1" showErrorMessage="1" xr:uid="{7E6D2FC2-00A2-43AF-9416-B8039B4894D8}">
          <x14:formula1>
            <xm:f>'calculo espigas'!$H$34:$H$58</xm:f>
          </x14:formula1>
          <xm:sqref>AD11</xm:sqref>
        </x14:dataValidation>
        <x14:dataValidation type="list" allowBlank="1" showInputMessage="1" showErrorMessage="1" xr:uid="{708482E3-9BDC-4DAD-8864-123B62104FBF}">
          <x14:formula1>
            <xm:f>'calculo espigas'!$C$2:$C$4</xm:f>
          </x14:formula1>
          <xm:sqref>AC12:AD12</xm:sqref>
        </x14:dataValidation>
        <x14:dataValidation type="list" allowBlank="1" showInputMessage="1" showErrorMessage="1" xr:uid="{4E144809-7CA2-4E41-9F51-2DBFB8C5767B}">
          <x14:formula1>
            <xm:f>'calculo espigas'!$D$7:$D$17</xm:f>
          </x14:formula1>
          <xm:sqref>AC11</xm:sqref>
        </x14:dataValidation>
        <x14:dataValidation type="list" allowBlank="1" showInputMessage="1" showErrorMessage="1" xr:uid="{E9448951-3031-4AF7-A3D3-35A4993A9AA5}">
          <x14:formula1>
            <xm:f>'Listas-2'!$B$183:$B$193</xm:f>
          </x14:formula1>
          <xm:sqref>C27:D27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C7"/>
  <sheetViews>
    <sheetView workbookViewId="0">
      <selection activeCell="B3" sqref="B3"/>
    </sheetView>
  </sheetViews>
  <sheetFormatPr baseColWidth="10" defaultColWidth="11.453125" defaultRowHeight="10.5"/>
  <cols>
    <col min="1" max="1" width="28.26953125" style="36" bestFit="1" customWidth="1"/>
    <col min="2" max="3" width="55.7265625" style="36" customWidth="1"/>
    <col min="4" max="15" width="20.7265625" style="36" customWidth="1"/>
    <col min="16" max="16384" width="11.453125" style="36"/>
  </cols>
  <sheetData>
    <row r="1" spans="1:3" ht="12">
      <c r="A1" s="34" t="s">
        <v>371</v>
      </c>
      <c r="B1" s="35" t="s">
        <v>372</v>
      </c>
      <c r="C1" s="35" t="s">
        <v>373</v>
      </c>
    </row>
    <row r="2" spans="1:3" ht="107">
      <c r="A2" s="37" t="s">
        <v>844</v>
      </c>
      <c r="B2" s="38" t="s">
        <v>845</v>
      </c>
      <c r="C2" s="38" t="s">
        <v>846</v>
      </c>
    </row>
    <row r="3" spans="1:3" ht="84">
      <c r="A3" s="37" t="s">
        <v>537</v>
      </c>
      <c r="B3" s="38" t="s">
        <v>837</v>
      </c>
      <c r="C3" s="38" t="s">
        <v>838</v>
      </c>
    </row>
    <row r="4" spans="1:3" ht="115.5">
      <c r="A4" s="37" t="s">
        <v>834</v>
      </c>
      <c r="B4" s="38" t="s">
        <v>836</v>
      </c>
      <c r="C4" s="38" t="s">
        <v>839</v>
      </c>
    </row>
    <row r="5" spans="1:3" ht="31.5">
      <c r="A5" s="37" t="s">
        <v>98</v>
      </c>
      <c r="B5" s="38" t="s">
        <v>381</v>
      </c>
      <c r="C5" s="38" t="s">
        <v>380</v>
      </c>
    </row>
    <row r="7" spans="1:3" ht="52.5">
      <c r="A7" s="37" t="s">
        <v>835</v>
      </c>
      <c r="B7" s="38" t="s">
        <v>840</v>
      </c>
      <c r="C7" s="38"/>
    </row>
  </sheetData>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779"/>
  <sheetViews>
    <sheetView zoomScale="70" zoomScaleNormal="70" workbookViewId="0">
      <pane xSplit="2" ySplit="11" topLeftCell="C248" activePane="bottomRight" state="frozen"/>
      <selection activeCell="J177" sqref="J177:J180"/>
      <selection pane="topRight" activeCell="J177" sqref="J177:J180"/>
      <selection pane="bottomLeft" activeCell="J177" sqref="J177:J180"/>
      <selection pane="bottomRight" activeCell="J196" sqref="J196:K341"/>
    </sheetView>
  </sheetViews>
  <sheetFormatPr baseColWidth="10" defaultColWidth="11.54296875" defaultRowHeight="14.5"/>
  <cols>
    <col min="1" max="1" width="14.26953125" style="67" customWidth="1"/>
    <col min="2" max="2" width="55.453125" style="1" customWidth="1"/>
    <col min="3" max="3" width="15.26953125" style="55" customWidth="1"/>
    <col min="4" max="4" width="9.26953125" style="55" customWidth="1"/>
    <col min="5" max="5" width="9.453125" style="55" customWidth="1"/>
    <col min="6" max="6" width="13.81640625" style="91" customWidth="1"/>
    <col min="7" max="7" width="10.81640625" style="55" customWidth="1"/>
    <col min="8" max="8" width="13.26953125" style="78" customWidth="1"/>
    <col min="9" max="9" width="12.7265625" style="78" customWidth="1"/>
    <col min="10" max="11" width="12" style="55" customWidth="1"/>
    <col min="12" max="12" width="11.54296875" style="75"/>
    <col min="13" max="13" width="0" style="75" hidden="1" customWidth="1"/>
    <col min="14" max="14" width="7.7265625" style="75" hidden="1" customWidth="1"/>
    <col min="15" max="15" width="19.26953125" style="75" bestFit="1" customWidth="1"/>
    <col min="16" max="16384" width="11.54296875" style="75"/>
  </cols>
  <sheetData>
    <row r="1" spans="1:17" ht="2.5" customHeight="1">
      <c r="A1" s="77"/>
      <c r="B1" s="104"/>
      <c r="C1" s="78"/>
      <c r="D1" s="78"/>
      <c r="E1" s="78"/>
      <c r="F1" s="87"/>
      <c r="G1" s="78"/>
      <c r="J1" s="78"/>
      <c r="K1" s="78"/>
    </row>
    <row r="2" spans="1:17" hidden="1">
      <c r="A2" s="77"/>
      <c r="B2" s="104"/>
      <c r="C2" s="78"/>
      <c r="D2" s="78"/>
      <c r="E2" s="78"/>
      <c r="F2" s="87"/>
      <c r="G2" s="78"/>
      <c r="J2" s="78"/>
      <c r="K2" s="78"/>
    </row>
    <row r="3" spans="1:17" hidden="1">
      <c r="A3" s="77"/>
      <c r="B3" s="105"/>
      <c r="C3" s="78"/>
      <c r="D3" s="78"/>
      <c r="E3" s="78"/>
      <c r="F3" s="88"/>
      <c r="G3" s="82"/>
      <c r="J3" s="82"/>
      <c r="K3" s="82"/>
    </row>
    <row r="4" spans="1:17" hidden="1">
      <c r="A4" s="77"/>
      <c r="B4" s="106"/>
      <c r="C4" s="78"/>
      <c r="D4" s="78"/>
      <c r="E4" s="78"/>
      <c r="F4" s="88"/>
      <c r="G4" s="82"/>
      <c r="J4" s="82"/>
      <c r="K4" s="82"/>
    </row>
    <row r="5" spans="1:17" hidden="1">
      <c r="A5" s="77"/>
      <c r="B5" s="106"/>
      <c r="C5" s="78"/>
      <c r="D5" s="78"/>
      <c r="E5" s="78"/>
      <c r="F5" s="88"/>
      <c r="G5" s="82"/>
      <c r="J5" s="82"/>
      <c r="K5" s="82"/>
    </row>
    <row r="6" spans="1:17" hidden="1">
      <c r="A6" s="77"/>
      <c r="B6" s="499"/>
      <c r="C6" s="78"/>
      <c r="D6" s="78"/>
      <c r="E6" s="78"/>
      <c r="F6" s="89"/>
      <c r="G6" s="83"/>
      <c r="J6" s="83"/>
      <c r="K6" s="83"/>
    </row>
    <row r="7" spans="1:17" hidden="1">
      <c r="A7" s="77"/>
      <c r="B7" s="499"/>
      <c r="C7" s="78"/>
      <c r="D7" s="78"/>
      <c r="E7" s="78"/>
      <c r="F7" s="89"/>
      <c r="G7" s="83"/>
      <c r="J7" s="83"/>
      <c r="K7" s="83"/>
    </row>
    <row r="8" spans="1:17" hidden="1">
      <c r="A8" s="77"/>
      <c r="B8" s="499"/>
      <c r="C8" s="78"/>
      <c r="D8" s="78"/>
      <c r="E8" s="78"/>
      <c r="F8" s="89"/>
      <c r="G8" s="83"/>
      <c r="J8" s="83"/>
      <c r="K8" s="83"/>
    </row>
    <row r="9" spans="1:17" ht="15" hidden="1" thickBot="1">
      <c r="A9" s="77"/>
      <c r="B9" s="500"/>
      <c r="C9" s="78"/>
      <c r="D9" s="78"/>
      <c r="E9" s="78"/>
      <c r="F9" s="89"/>
      <c r="G9" s="83"/>
      <c r="J9" s="83"/>
      <c r="K9" s="83"/>
    </row>
    <row r="10" spans="1:17" ht="31.15" customHeight="1">
      <c r="A10" s="77"/>
      <c r="B10" s="104"/>
      <c r="C10" s="78"/>
      <c r="D10" s="78"/>
      <c r="E10" s="78"/>
      <c r="F10" s="87"/>
      <c r="G10" s="78"/>
      <c r="J10" s="78"/>
      <c r="K10" s="78"/>
    </row>
    <row r="11" spans="1:17" s="76" customFormat="1" ht="58">
      <c r="A11" s="72"/>
      <c r="B11" s="73"/>
      <c r="C11" s="73" t="s">
        <v>17</v>
      </c>
      <c r="D11" s="74" t="s">
        <v>401</v>
      </c>
      <c r="E11" s="74" t="s">
        <v>402</v>
      </c>
      <c r="F11" s="74" t="s">
        <v>296</v>
      </c>
      <c r="G11" s="73" t="s">
        <v>386</v>
      </c>
      <c r="H11" s="74" t="s">
        <v>348</v>
      </c>
      <c r="I11" s="74" t="s">
        <v>345</v>
      </c>
      <c r="J11" s="74" t="s">
        <v>295</v>
      </c>
      <c r="K11" s="74" t="s">
        <v>293</v>
      </c>
      <c r="M11" s="224" t="s">
        <v>850</v>
      </c>
      <c r="N11" s="225" t="s">
        <v>849</v>
      </c>
    </row>
    <row r="12" spans="1:17">
      <c r="A12" s="504" t="s">
        <v>156</v>
      </c>
      <c r="B12" s="155" t="s">
        <v>542</v>
      </c>
      <c r="C12" s="193">
        <f>O12</f>
        <v>4.82</v>
      </c>
      <c r="D12" s="157">
        <v>1</v>
      </c>
      <c r="E12" s="157"/>
      <c r="F12" s="157">
        <v>1</v>
      </c>
      <c r="G12" s="157" t="s">
        <v>453</v>
      </c>
      <c r="H12" s="157" t="s">
        <v>98</v>
      </c>
      <c r="I12" s="157" t="s">
        <v>453</v>
      </c>
      <c r="J12" s="157" t="s">
        <v>98</v>
      </c>
      <c r="K12" s="157" t="str">
        <f>Q12</f>
        <v>-</v>
      </c>
      <c r="L12" s="160">
        <v>45292</v>
      </c>
      <c r="M12" s="223">
        <v>0</v>
      </c>
      <c r="O12" s="75">
        <f>VLOOKUP(B12,'Tarifa 2025'!$B$3:$C$101,2,)</f>
        <v>4.82</v>
      </c>
      <c r="P12" s="75" t="s">
        <v>98</v>
      </c>
      <c r="Q12" s="75" t="s">
        <v>98</v>
      </c>
    </row>
    <row r="13" spans="1:17">
      <c r="A13" s="504"/>
      <c r="B13" s="95" t="s">
        <v>543</v>
      </c>
      <c r="C13" s="193">
        <f t="shared" ref="C13:C76" si="0">O13</f>
        <v>7.22</v>
      </c>
      <c r="D13" s="97">
        <v>1</v>
      </c>
      <c r="E13" s="97"/>
      <c r="F13" s="97">
        <v>1</v>
      </c>
      <c r="G13" s="97" t="s">
        <v>453</v>
      </c>
      <c r="H13" s="97" t="s">
        <v>98</v>
      </c>
      <c r="I13" s="97" t="s">
        <v>453</v>
      </c>
      <c r="J13" s="97" t="s">
        <v>98</v>
      </c>
      <c r="K13" s="157" t="str">
        <f t="shared" ref="K13:K76" si="1">Q13</f>
        <v>-</v>
      </c>
      <c r="L13" s="160">
        <v>45292</v>
      </c>
      <c r="M13" s="223">
        <v>0</v>
      </c>
      <c r="N13" s="75">
        <v>7.08</v>
      </c>
      <c r="O13" s="75">
        <f>VLOOKUP(B13,'Tarifa 2025'!$B$3:$C$101,2,)</f>
        <v>7.22</v>
      </c>
      <c r="P13" s="75" t="s">
        <v>98</v>
      </c>
      <c r="Q13" s="75" t="s">
        <v>98</v>
      </c>
    </row>
    <row r="14" spans="1:17">
      <c r="A14" s="504"/>
      <c r="B14" s="155" t="s">
        <v>544</v>
      </c>
      <c r="C14" s="193">
        <f t="shared" si="0"/>
        <v>9.6199999999999992</v>
      </c>
      <c r="D14" s="157">
        <v>1</v>
      </c>
      <c r="E14" s="157"/>
      <c r="F14" s="157">
        <v>1</v>
      </c>
      <c r="G14" s="157" t="s">
        <v>453</v>
      </c>
      <c r="H14" s="157" t="s">
        <v>98</v>
      </c>
      <c r="I14" s="157" t="s">
        <v>453</v>
      </c>
      <c r="J14" s="157" t="s">
        <v>98</v>
      </c>
      <c r="K14" s="157" t="str">
        <f t="shared" si="1"/>
        <v>-</v>
      </c>
      <c r="L14" s="160">
        <v>45292</v>
      </c>
      <c r="M14" s="223">
        <v>0</v>
      </c>
      <c r="O14" s="75">
        <f>VLOOKUP(B14,'Tarifa 2025'!$B$3:$C$101,2,)</f>
        <v>9.6199999999999992</v>
      </c>
      <c r="P14" s="75" t="s">
        <v>98</v>
      </c>
      <c r="Q14" s="75" t="s">
        <v>98</v>
      </c>
    </row>
    <row r="15" spans="1:17">
      <c r="A15" s="504"/>
      <c r="B15" s="95" t="s">
        <v>545</v>
      </c>
      <c r="C15" s="193">
        <f t="shared" si="0"/>
        <v>12.03</v>
      </c>
      <c r="D15" s="97">
        <v>1</v>
      </c>
      <c r="E15" s="97"/>
      <c r="F15" s="97">
        <v>1</v>
      </c>
      <c r="G15" s="97" t="s">
        <v>453</v>
      </c>
      <c r="H15" s="97" t="s">
        <v>98</v>
      </c>
      <c r="I15" s="97" t="s">
        <v>453</v>
      </c>
      <c r="J15" s="97" t="s">
        <v>98</v>
      </c>
      <c r="K15" s="157" t="str">
        <f t="shared" si="1"/>
        <v>-</v>
      </c>
      <c r="L15" s="160">
        <v>45292</v>
      </c>
      <c r="M15" s="223">
        <v>0</v>
      </c>
      <c r="N15" s="75">
        <v>11.76</v>
      </c>
      <c r="O15" s="75">
        <f>VLOOKUP(B15,'Tarifa 2025'!$B$3:$C$101,2,)</f>
        <v>12.03</v>
      </c>
      <c r="P15" s="75" t="s">
        <v>98</v>
      </c>
      <c r="Q15" s="75" t="s">
        <v>98</v>
      </c>
    </row>
    <row r="16" spans="1:17">
      <c r="A16" s="504"/>
      <c r="B16" s="155" t="s">
        <v>546</v>
      </c>
      <c r="C16" s="193">
        <f t="shared" si="0"/>
        <v>14.44</v>
      </c>
      <c r="D16" s="157">
        <v>1</v>
      </c>
      <c r="E16" s="157"/>
      <c r="F16" s="157">
        <v>1</v>
      </c>
      <c r="G16" s="157" t="s">
        <v>453</v>
      </c>
      <c r="H16" s="157" t="s">
        <v>98</v>
      </c>
      <c r="I16" s="157" t="s">
        <v>453</v>
      </c>
      <c r="J16" s="157" t="s">
        <v>98</v>
      </c>
      <c r="K16" s="157" t="str">
        <f t="shared" si="1"/>
        <v>-</v>
      </c>
      <c r="L16" s="160">
        <v>45292</v>
      </c>
      <c r="M16" s="223">
        <v>0</v>
      </c>
      <c r="O16" s="75">
        <f>VLOOKUP(B16,'Tarifa 2025'!$B$3:$C$101,2,)</f>
        <v>14.44</v>
      </c>
      <c r="P16" s="75" t="s">
        <v>98</v>
      </c>
      <c r="Q16" s="75" t="s">
        <v>98</v>
      </c>
    </row>
    <row r="17" spans="1:17">
      <c r="A17" s="504"/>
      <c r="B17" s="95" t="s">
        <v>547</v>
      </c>
      <c r="C17" s="193">
        <f t="shared" si="0"/>
        <v>16.864999999999998</v>
      </c>
      <c r="D17" s="97">
        <v>1</v>
      </c>
      <c r="E17" s="97"/>
      <c r="F17" s="97">
        <v>1</v>
      </c>
      <c r="G17" s="97" t="s">
        <v>453</v>
      </c>
      <c r="H17" s="97" t="s">
        <v>98</v>
      </c>
      <c r="I17" s="97" t="s">
        <v>453</v>
      </c>
      <c r="J17" s="97" t="s">
        <v>98</v>
      </c>
      <c r="K17" s="157" t="str">
        <f t="shared" si="1"/>
        <v>-</v>
      </c>
      <c r="L17" s="160">
        <v>45292</v>
      </c>
      <c r="M17" s="223">
        <v>0</v>
      </c>
      <c r="N17" s="75">
        <v>16.43</v>
      </c>
      <c r="O17" s="75">
        <f>VLOOKUP(B17,'Tarifa 2025'!$B$3:$C$101,2,)</f>
        <v>16.864999999999998</v>
      </c>
      <c r="P17" s="75" t="s">
        <v>98</v>
      </c>
      <c r="Q17" s="75" t="s">
        <v>98</v>
      </c>
    </row>
    <row r="18" spans="1:17">
      <c r="A18" s="504"/>
      <c r="B18" s="155" t="s">
        <v>548</v>
      </c>
      <c r="C18" s="193">
        <f t="shared" si="0"/>
        <v>19.29</v>
      </c>
      <c r="D18" s="157">
        <v>1</v>
      </c>
      <c r="E18" s="157"/>
      <c r="F18" s="157">
        <v>1</v>
      </c>
      <c r="G18" s="157" t="s">
        <v>453</v>
      </c>
      <c r="H18" s="157" t="s">
        <v>98</v>
      </c>
      <c r="I18" s="157" t="s">
        <v>453</v>
      </c>
      <c r="J18" s="157" t="s">
        <v>98</v>
      </c>
      <c r="K18" s="157" t="str">
        <f t="shared" si="1"/>
        <v>-</v>
      </c>
      <c r="L18" s="160">
        <v>45292</v>
      </c>
      <c r="M18" s="223">
        <v>0</v>
      </c>
      <c r="O18" s="75">
        <f>VLOOKUP(B18,'Tarifa 2025'!$B$3:$C$101,2,)</f>
        <v>19.29</v>
      </c>
      <c r="P18" s="75" t="s">
        <v>98</v>
      </c>
      <c r="Q18" s="75" t="s">
        <v>98</v>
      </c>
    </row>
    <row r="19" spans="1:17">
      <c r="A19" s="504"/>
      <c r="B19" s="95" t="s">
        <v>549</v>
      </c>
      <c r="C19" s="193">
        <f t="shared" si="0"/>
        <v>21.674999999999997</v>
      </c>
      <c r="D19" s="97">
        <v>1</v>
      </c>
      <c r="E19" s="97"/>
      <c r="F19" s="97">
        <v>1</v>
      </c>
      <c r="G19" s="97" t="s">
        <v>453</v>
      </c>
      <c r="H19" s="97" t="s">
        <v>98</v>
      </c>
      <c r="I19" s="97" t="s">
        <v>453</v>
      </c>
      <c r="J19" s="97" t="s">
        <v>98</v>
      </c>
      <c r="K19" s="157" t="str">
        <f t="shared" si="1"/>
        <v>-</v>
      </c>
      <c r="L19" s="160">
        <v>45292</v>
      </c>
      <c r="M19" s="223">
        <v>0</v>
      </c>
      <c r="N19" s="75">
        <v>21.1</v>
      </c>
      <c r="O19" s="75">
        <f>VLOOKUP(B19,'Tarifa 2025'!$B$3:$C$101,2,)</f>
        <v>21.674999999999997</v>
      </c>
      <c r="P19" s="75" t="s">
        <v>98</v>
      </c>
      <c r="Q19" s="75" t="s">
        <v>98</v>
      </c>
    </row>
    <row r="20" spans="1:17">
      <c r="A20" s="504"/>
      <c r="B20" s="155" t="s">
        <v>550</v>
      </c>
      <c r="C20" s="193">
        <f t="shared" si="0"/>
        <v>24.06</v>
      </c>
      <c r="D20" s="157">
        <v>1</v>
      </c>
      <c r="E20" s="157"/>
      <c r="F20" s="157">
        <v>1</v>
      </c>
      <c r="G20" s="157" t="s">
        <v>453</v>
      </c>
      <c r="H20" s="157" t="s">
        <v>98</v>
      </c>
      <c r="I20" s="157" t="s">
        <v>453</v>
      </c>
      <c r="J20" s="157" t="s">
        <v>98</v>
      </c>
      <c r="K20" s="157" t="str">
        <f t="shared" si="1"/>
        <v>-</v>
      </c>
      <c r="L20" s="160">
        <v>45292</v>
      </c>
      <c r="M20" s="223">
        <v>0</v>
      </c>
      <c r="O20" s="75">
        <f>VLOOKUP(B20,'Tarifa 2025'!$B$3:$C$101,2,)</f>
        <v>24.06</v>
      </c>
      <c r="P20" s="75" t="s">
        <v>98</v>
      </c>
      <c r="Q20" s="75" t="s">
        <v>98</v>
      </c>
    </row>
    <row r="21" spans="1:17">
      <c r="A21" s="504"/>
      <c r="B21" s="95" t="s">
        <v>551</v>
      </c>
      <c r="C21" s="193">
        <f t="shared" si="0"/>
        <v>26.494999999999997</v>
      </c>
      <c r="D21" s="97">
        <v>1</v>
      </c>
      <c r="E21" s="97"/>
      <c r="F21" s="97">
        <v>1</v>
      </c>
      <c r="G21" s="97" t="s">
        <v>453</v>
      </c>
      <c r="H21" s="97" t="s">
        <v>98</v>
      </c>
      <c r="I21" s="97" t="s">
        <v>453</v>
      </c>
      <c r="J21" s="97" t="s">
        <v>98</v>
      </c>
      <c r="K21" s="157" t="str">
        <f t="shared" si="1"/>
        <v>-</v>
      </c>
      <c r="L21" s="160">
        <v>45292</v>
      </c>
      <c r="M21" s="223">
        <v>0</v>
      </c>
      <c r="N21" s="75">
        <v>27.37</v>
      </c>
      <c r="O21" s="75">
        <f>VLOOKUP(B21,'Tarifa 2025'!$B$3:$C$101,2,)</f>
        <v>26.494999999999997</v>
      </c>
      <c r="P21" s="75" t="s">
        <v>98</v>
      </c>
      <c r="Q21" s="75" t="s">
        <v>98</v>
      </c>
    </row>
    <row r="22" spans="1:17">
      <c r="A22" s="504"/>
      <c r="B22" s="155" t="s">
        <v>552</v>
      </c>
      <c r="C22" s="193">
        <f t="shared" si="0"/>
        <v>28.93</v>
      </c>
      <c r="D22" s="157">
        <v>1</v>
      </c>
      <c r="E22" s="157"/>
      <c r="F22" s="157">
        <v>1</v>
      </c>
      <c r="G22" s="157" t="s">
        <v>453</v>
      </c>
      <c r="H22" s="157" t="s">
        <v>98</v>
      </c>
      <c r="I22" s="157" t="s">
        <v>453</v>
      </c>
      <c r="J22" s="157" t="s">
        <v>98</v>
      </c>
      <c r="K22" s="157" t="str">
        <f t="shared" si="1"/>
        <v>-</v>
      </c>
      <c r="L22" s="160">
        <v>45292</v>
      </c>
      <c r="M22" s="223">
        <v>0</v>
      </c>
      <c r="O22" s="75">
        <f>VLOOKUP(B22,'Tarifa 2025'!$B$3:$C$101,2,)</f>
        <v>28.93</v>
      </c>
      <c r="P22" s="75" t="s">
        <v>98</v>
      </c>
      <c r="Q22" s="75" t="s">
        <v>98</v>
      </c>
    </row>
    <row r="23" spans="1:17">
      <c r="A23" s="504"/>
      <c r="B23" s="95" t="s">
        <v>553</v>
      </c>
      <c r="C23" s="193">
        <f t="shared" si="0"/>
        <v>31.335000000000001</v>
      </c>
      <c r="D23" s="97">
        <v>1</v>
      </c>
      <c r="E23" s="97"/>
      <c r="F23" s="97">
        <v>1</v>
      </c>
      <c r="G23" s="97" t="s">
        <v>453</v>
      </c>
      <c r="H23" s="97" t="s">
        <v>98</v>
      </c>
      <c r="I23" s="97" t="s">
        <v>453</v>
      </c>
      <c r="J23" s="97" t="s">
        <v>98</v>
      </c>
      <c r="K23" s="157" t="str">
        <f t="shared" si="1"/>
        <v>-</v>
      </c>
      <c r="L23" s="160">
        <v>45292</v>
      </c>
      <c r="M23" s="223">
        <v>0</v>
      </c>
      <c r="N23" s="75">
        <v>32.35</v>
      </c>
      <c r="O23" s="75">
        <f>VLOOKUP(B23,'Tarifa 2025'!$B$3:$C$101,2,)</f>
        <v>31.335000000000001</v>
      </c>
      <c r="P23" s="75" t="s">
        <v>98</v>
      </c>
      <c r="Q23" s="75" t="s">
        <v>98</v>
      </c>
    </row>
    <row r="24" spans="1:17">
      <c r="A24" s="504"/>
      <c r="B24" s="155" t="s">
        <v>554</v>
      </c>
      <c r="C24" s="193">
        <f t="shared" si="0"/>
        <v>33.74</v>
      </c>
      <c r="D24" s="157">
        <v>1</v>
      </c>
      <c r="E24" s="157"/>
      <c r="F24" s="157">
        <v>1</v>
      </c>
      <c r="G24" s="157" t="s">
        <v>453</v>
      </c>
      <c r="H24" s="157" t="s">
        <v>98</v>
      </c>
      <c r="I24" s="157" t="s">
        <v>453</v>
      </c>
      <c r="J24" s="157" t="s">
        <v>98</v>
      </c>
      <c r="K24" s="157" t="str">
        <f t="shared" si="1"/>
        <v>-</v>
      </c>
      <c r="L24" s="160">
        <v>45292</v>
      </c>
      <c r="M24" s="223">
        <v>0</v>
      </c>
      <c r="O24" s="75">
        <f>VLOOKUP(B24,'Tarifa 2025'!$B$3:$C$101,2,)</f>
        <v>33.74</v>
      </c>
      <c r="P24" s="75" t="s">
        <v>98</v>
      </c>
      <c r="Q24" s="75" t="s">
        <v>98</v>
      </c>
    </row>
    <row r="25" spans="1:17">
      <c r="A25" s="504"/>
      <c r="B25" s="95" t="s">
        <v>555</v>
      </c>
      <c r="C25" s="193">
        <f t="shared" si="0"/>
        <v>36.125</v>
      </c>
      <c r="D25" s="97">
        <v>1</v>
      </c>
      <c r="E25" s="97"/>
      <c r="F25" s="97">
        <v>1</v>
      </c>
      <c r="G25" s="97" t="s">
        <v>453</v>
      </c>
      <c r="H25" s="97" t="s">
        <v>98</v>
      </c>
      <c r="I25" s="97" t="s">
        <v>453</v>
      </c>
      <c r="J25" s="97" t="s">
        <v>98</v>
      </c>
      <c r="K25" s="157" t="str">
        <f t="shared" si="1"/>
        <v>-</v>
      </c>
      <c r="L25" s="160">
        <v>45292</v>
      </c>
      <c r="M25" s="223">
        <v>0</v>
      </c>
      <c r="N25" s="75">
        <v>37.31</v>
      </c>
      <c r="O25" s="75">
        <f>VLOOKUP(B25,'Tarifa 2025'!$B$3:$C$101,2,)</f>
        <v>36.125</v>
      </c>
      <c r="P25" s="75" t="s">
        <v>98</v>
      </c>
      <c r="Q25" s="75" t="s">
        <v>98</v>
      </c>
    </row>
    <row r="26" spans="1:17">
      <c r="A26" s="504"/>
      <c r="B26" s="155" t="s">
        <v>556</v>
      </c>
      <c r="C26" s="193">
        <f t="shared" si="0"/>
        <v>38.51</v>
      </c>
      <c r="D26" s="157">
        <v>1</v>
      </c>
      <c r="E26" s="157"/>
      <c r="F26" s="157">
        <v>1</v>
      </c>
      <c r="G26" s="157" t="s">
        <v>453</v>
      </c>
      <c r="H26" s="157" t="s">
        <v>98</v>
      </c>
      <c r="I26" s="157" t="s">
        <v>453</v>
      </c>
      <c r="J26" s="157" t="s">
        <v>98</v>
      </c>
      <c r="K26" s="157" t="str">
        <f t="shared" si="1"/>
        <v>-</v>
      </c>
      <c r="L26" s="160">
        <v>45292</v>
      </c>
      <c r="M26" s="223">
        <v>0</v>
      </c>
      <c r="O26" s="75">
        <f>VLOOKUP(B26,'Tarifa 2025'!$B$3:$C$101,2,)</f>
        <v>38.51</v>
      </c>
      <c r="P26" s="75" t="s">
        <v>98</v>
      </c>
      <c r="Q26" s="75" t="s">
        <v>98</v>
      </c>
    </row>
    <row r="27" spans="1:17">
      <c r="A27" s="504"/>
      <c r="B27" s="95" t="s">
        <v>98</v>
      </c>
      <c r="C27" s="193">
        <f t="shared" si="0"/>
        <v>0</v>
      </c>
      <c r="D27" s="97"/>
      <c r="E27" s="97"/>
      <c r="F27" s="97"/>
      <c r="G27" s="97"/>
      <c r="H27" s="97" t="s">
        <v>98</v>
      </c>
      <c r="I27" s="97"/>
      <c r="J27" s="97"/>
      <c r="K27" s="157">
        <f t="shared" si="1"/>
        <v>0</v>
      </c>
      <c r="L27" s="160">
        <v>45292</v>
      </c>
      <c r="O27" s="75">
        <f>VLOOKUP(B27,'Tarifa 2025'!$B$3:$C$101,2,)</f>
        <v>0</v>
      </c>
      <c r="P27" s="75">
        <v>0</v>
      </c>
      <c r="Q27" s="75">
        <v>0</v>
      </c>
    </row>
    <row r="28" spans="1:17">
      <c r="A28" s="504"/>
      <c r="B28" s="155" t="s">
        <v>557</v>
      </c>
      <c r="C28" s="193">
        <f t="shared" si="0"/>
        <v>5.5</v>
      </c>
      <c r="D28" s="157">
        <v>1</v>
      </c>
      <c r="E28" s="157"/>
      <c r="F28" s="157">
        <v>1</v>
      </c>
      <c r="G28" s="157" t="s">
        <v>453</v>
      </c>
      <c r="H28" s="157" t="s">
        <v>98</v>
      </c>
      <c r="I28" s="157" t="s">
        <v>453</v>
      </c>
      <c r="J28" s="157" t="s">
        <v>98</v>
      </c>
      <c r="K28" s="157" t="str">
        <f t="shared" si="1"/>
        <v>-</v>
      </c>
      <c r="L28" s="160">
        <v>45292</v>
      </c>
      <c r="M28" s="223">
        <v>0.05</v>
      </c>
      <c r="O28" s="75">
        <f>VLOOKUP(B28,'Tarifa 2025'!$B$3:$C$101,2,)</f>
        <v>5.5</v>
      </c>
      <c r="P28" s="75" t="s">
        <v>98</v>
      </c>
      <c r="Q28" s="75" t="s">
        <v>98</v>
      </c>
    </row>
    <row r="29" spans="1:17">
      <c r="A29" s="504"/>
      <c r="B29" s="95" t="s">
        <v>558</v>
      </c>
      <c r="C29" s="193">
        <f t="shared" si="0"/>
        <v>8.24</v>
      </c>
      <c r="D29" s="97">
        <v>1</v>
      </c>
      <c r="E29" s="97"/>
      <c r="F29" s="97">
        <v>1</v>
      </c>
      <c r="G29" s="97" t="s">
        <v>453</v>
      </c>
      <c r="H29" s="97" t="s">
        <v>98</v>
      </c>
      <c r="I29" s="97" t="s">
        <v>453</v>
      </c>
      <c r="J29" s="97" t="s">
        <v>98</v>
      </c>
      <c r="K29" s="157" t="str">
        <f t="shared" si="1"/>
        <v>-</v>
      </c>
      <c r="L29" s="160">
        <v>45292</v>
      </c>
      <c r="M29" s="223">
        <v>0.05</v>
      </c>
      <c r="N29" s="132">
        <v>8.41</v>
      </c>
      <c r="O29" s="75">
        <f>VLOOKUP(B29,'Tarifa 2025'!$B$3:$C$101,2,)</f>
        <v>8.24</v>
      </c>
      <c r="P29" s="75" t="s">
        <v>98</v>
      </c>
      <c r="Q29" s="75" t="s">
        <v>98</v>
      </c>
    </row>
    <row r="30" spans="1:17">
      <c r="A30" s="504"/>
      <c r="B30" s="155" t="s">
        <v>559</v>
      </c>
      <c r="C30" s="193">
        <f t="shared" si="0"/>
        <v>10.98</v>
      </c>
      <c r="D30" s="157">
        <v>1</v>
      </c>
      <c r="E30" s="157"/>
      <c r="F30" s="157">
        <v>1</v>
      </c>
      <c r="G30" s="157" t="s">
        <v>453</v>
      </c>
      <c r="H30" s="157" t="s">
        <v>98</v>
      </c>
      <c r="I30" s="157" t="s">
        <v>453</v>
      </c>
      <c r="J30" s="157" t="s">
        <v>98</v>
      </c>
      <c r="K30" s="157" t="str">
        <f t="shared" si="1"/>
        <v>-</v>
      </c>
      <c r="L30" s="160">
        <v>45292</v>
      </c>
      <c r="M30" s="223">
        <v>0.05</v>
      </c>
      <c r="N30" s="132"/>
      <c r="O30" s="75">
        <f>VLOOKUP(B30,'Tarifa 2025'!$B$3:$C$101,2,)</f>
        <v>10.98</v>
      </c>
      <c r="P30" s="75" t="s">
        <v>98</v>
      </c>
      <c r="Q30" s="75" t="s">
        <v>98</v>
      </c>
    </row>
    <row r="31" spans="1:17">
      <c r="A31" s="504"/>
      <c r="B31" s="95" t="s">
        <v>560</v>
      </c>
      <c r="C31" s="193">
        <f t="shared" si="0"/>
        <v>13.725</v>
      </c>
      <c r="D31" s="97">
        <v>1</v>
      </c>
      <c r="E31" s="97"/>
      <c r="F31" s="97">
        <v>1</v>
      </c>
      <c r="G31" s="97" t="s">
        <v>453</v>
      </c>
      <c r="H31" s="97" t="s">
        <v>98</v>
      </c>
      <c r="I31" s="97" t="s">
        <v>453</v>
      </c>
      <c r="J31" s="97" t="s">
        <v>98</v>
      </c>
      <c r="K31" s="157" t="str">
        <f t="shared" si="1"/>
        <v>-</v>
      </c>
      <c r="L31" s="160">
        <v>45292</v>
      </c>
      <c r="M31" s="223">
        <v>0.05</v>
      </c>
      <c r="N31" s="132">
        <v>14.2</v>
      </c>
      <c r="O31" s="75">
        <f>VLOOKUP(B31,'Tarifa 2025'!$B$3:$C$101,2,)</f>
        <v>13.725</v>
      </c>
      <c r="P31" s="75" t="s">
        <v>98</v>
      </c>
      <c r="Q31" s="75" t="s">
        <v>98</v>
      </c>
    </row>
    <row r="32" spans="1:17">
      <c r="A32" s="504"/>
      <c r="B32" s="155" t="s">
        <v>561</v>
      </c>
      <c r="C32" s="193">
        <f t="shared" si="0"/>
        <v>16.47</v>
      </c>
      <c r="D32" s="157">
        <v>1</v>
      </c>
      <c r="E32" s="157"/>
      <c r="F32" s="157">
        <v>1</v>
      </c>
      <c r="G32" s="157" t="s">
        <v>453</v>
      </c>
      <c r="H32" s="157" t="s">
        <v>98</v>
      </c>
      <c r="I32" s="157" t="s">
        <v>453</v>
      </c>
      <c r="J32" s="157" t="s">
        <v>98</v>
      </c>
      <c r="K32" s="157" t="str">
        <f t="shared" si="1"/>
        <v>-</v>
      </c>
      <c r="L32" s="160">
        <v>45292</v>
      </c>
      <c r="M32" s="223">
        <v>0.05</v>
      </c>
      <c r="N32" s="132"/>
      <c r="O32" s="75">
        <f>VLOOKUP(B32,'Tarifa 2025'!$B$3:$C$101,2,)</f>
        <v>16.47</v>
      </c>
      <c r="P32" s="75" t="s">
        <v>98</v>
      </c>
      <c r="Q32" s="75" t="s">
        <v>98</v>
      </c>
    </row>
    <row r="33" spans="1:17">
      <c r="A33" s="504"/>
      <c r="B33" s="95" t="s">
        <v>562</v>
      </c>
      <c r="C33" s="193">
        <f t="shared" si="0"/>
        <v>19.22</v>
      </c>
      <c r="D33" s="97">
        <v>1</v>
      </c>
      <c r="E33" s="97"/>
      <c r="F33" s="97">
        <v>1</v>
      </c>
      <c r="G33" s="97" t="s">
        <v>453</v>
      </c>
      <c r="H33" s="97" t="s">
        <v>98</v>
      </c>
      <c r="I33" s="97" t="s">
        <v>453</v>
      </c>
      <c r="J33" s="97" t="s">
        <v>98</v>
      </c>
      <c r="K33" s="157" t="str">
        <f t="shared" si="1"/>
        <v>-</v>
      </c>
      <c r="L33" s="160">
        <v>45292</v>
      </c>
      <c r="M33" s="223">
        <v>0.05</v>
      </c>
      <c r="N33" s="132">
        <v>19.63</v>
      </c>
      <c r="O33" s="75">
        <f>VLOOKUP(B33,'Tarifa 2025'!$B$3:$C$101,2,)</f>
        <v>19.22</v>
      </c>
      <c r="P33" s="75" t="s">
        <v>98</v>
      </c>
      <c r="Q33" s="75" t="s">
        <v>98</v>
      </c>
    </row>
    <row r="34" spans="1:17">
      <c r="A34" s="504"/>
      <c r="B34" s="155" t="s">
        <v>563</v>
      </c>
      <c r="C34" s="193">
        <f t="shared" si="0"/>
        <v>21.97</v>
      </c>
      <c r="D34" s="157">
        <v>1</v>
      </c>
      <c r="E34" s="157"/>
      <c r="F34" s="157">
        <v>1</v>
      </c>
      <c r="G34" s="157" t="s">
        <v>453</v>
      </c>
      <c r="H34" s="157" t="s">
        <v>98</v>
      </c>
      <c r="I34" s="157" t="s">
        <v>453</v>
      </c>
      <c r="J34" s="157" t="s">
        <v>98</v>
      </c>
      <c r="K34" s="157" t="str">
        <f t="shared" si="1"/>
        <v>-</v>
      </c>
      <c r="L34" s="160">
        <v>45292</v>
      </c>
      <c r="M34" s="223">
        <v>0.05</v>
      </c>
      <c r="N34" s="132"/>
      <c r="O34" s="75">
        <f>VLOOKUP(B34,'Tarifa 2025'!$B$3:$C$101,2,)</f>
        <v>21.97</v>
      </c>
      <c r="P34" s="75" t="s">
        <v>98</v>
      </c>
      <c r="Q34" s="75" t="s">
        <v>98</v>
      </c>
    </row>
    <row r="35" spans="1:17">
      <c r="A35" s="504"/>
      <c r="B35" s="95" t="s">
        <v>564</v>
      </c>
      <c r="C35" s="193">
        <f t="shared" si="0"/>
        <v>24.71</v>
      </c>
      <c r="D35" s="97">
        <v>1</v>
      </c>
      <c r="E35" s="97"/>
      <c r="F35" s="97">
        <v>1</v>
      </c>
      <c r="G35" s="97" t="s">
        <v>453</v>
      </c>
      <c r="H35" s="97" t="s">
        <v>98</v>
      </c>
      <c r="I35" s="97" t="s">
        <v>453</v>
      </c>
      <c r="J35" s="97" t="s">
        <v>98</v>
      </c>
      <c r="K35" s="157" t="str">
        <f t="shared" si="1"/>
        <v>-</v>
      </c>
      <c r="L35" s="160">
        <v>45292</v>
      </c>
      <c r="M35" s="223">
        <v>0.05</v>
      </c>
      <c r="N35" s="132">
        <v>25.23</v>
      </c>
      <c r="O35" s="75">
        <f>VLOOKUP(B35,'Tarifa 2025'!$B$3:$C$101,2,)</f>
        <v>24.71</v>
      </c>
      <c r="P35" s="75" t="s">
        <v>98</v>
      </c>
      <c r="Q35" s="75" t="s">
        <v>98</v>
      </c>
    </row>
    <row r="36" spans="1:17">
      <c r="A36" s="504"/>
      <c r="B36" s="155" t="s">
        <v>565</v>
      </c>
      <c r="C36" s="193">
        <f t="shared" si="0"/>
        <v>27.45</v>
      </c>
      <c r="D36" s="157">
        <v>1</v>
      </c>
      <c r="E36" s="157"/>
      <c r="F36" s="157">
        <v>1</v>
      </c>
      <c r="G36" s="157" t="s">
        <v>453</v>
      </c>
      <c r="H36" s="157" t="s">
        <v>98</v>
      </c>
      <c r="I36" s="157" t="s">
        <v>453</v>
      </c>
      <c r="J36" s="157" t="s">
        <v>98</v>
      </c>
      <c r="K36" s="157" t="str">
        <f t="shared" si="1"/>
        <v>-</v>
      </c>
      <c r="L36" s="160">
        <v>45292</v>
      </c>
      <c r="M36" s="223">
        <v>0.05</v>
      </c>
      <c r="N36" s="132"/>
      <c r="O36" s="75">
        <f>VLOOKUP(B36,'Tarifa 2025'!$B$3:$C$101,2,)</f>
        <v>27.45</v>
      </c>
      <c r="P36" s="75" t="s">
        <v>98</v>
      </c>
      <c r="Q36" s="75" t="s">
        <v>98</v>
      </c>
    </row>
    <row r="37" spans="1:17">
      <c r="A37" s="504"/>
      <c r="B37" s="95" t="s">
        <v>568</v>
      </c>
      <c r="C37" s="193">
        <f t="shared" si="0"/>
        <v>30.204999999999998</v>
      </c>
      <c r="D37" s="97">
        <v>1</v>
      </c>
      <c r="E37" s="97"/>
      <c r="F37" s="97">
        <v>1</v>
      </c>
      <c r="G37" s="97" t="s">
        <v>453</v>
      </c>
      <c r="H37" s="97" t="s">
        <v>98</v>
      </c>
      <c r="I37" s="97" t="s">
        <v>453</v>
      </c>
      <c r="J37" s="97" t="s">
        <v>98</v>
      </c>
      <c r="K37" s="157" t="str">
        <f t="shared" si="1"/>
        <v>-</v>
      </c>
      <c r="L37" s="160">
        <v>45292</v>
      </c>
      <c r="M37" s="223">
        <v>0.05</v>
      </c>
      <c r="N37" s="132">
        <v>30.84</v>
      </c>
      <c r="O37" s="75">
        <f>VLOOKUP(B37,'Tarifa 2025'!$B$3:$C$101,2,)</f>
        <v>30.204999999999998</v>
      </c>
      <c r="P37" s="75" t="s">
        <v>98</v>
      </c>
      <c r="Q37" s="75" t="s">
        <v>98</v>
      </c>
    </row>
    <row r="38" spans="1:17">
      <c r="A38" s="504"/>
      <c r="B38" s="155" t="s">
        <v>566</v>
      </c>
      <c r="C38" s="193">
        <f t="shared" si="0"/>
        <v>32.96</v>
      </c>
      <c r="D38" s="157">
        <v>1</v>
      </c>
      <c r="E38" s="157"/>
      <c r="F38" s="157">
        <v>1</v>
      </c>
      <c r="G38" s="157" t="s">
        <v>453</v>
      </c>
      <c r="H38" s="157" t="s">
        <v>98</v>
      </c>
      <c r="I38" s="157" t="s">
        <v>453</v>
      </c>
      <c r="J38" s="157" t="s">
        <v>98</v>
      </c>
      <c r="K38" s="157" t="str">
        <f t="shared" si="1"/>
        <v>-</v>
      </c>
      <c r="L38" s="160">
        <v>45292</v>
      </c>
      <c r="M38" s="223">
        <v>0.05</v>
      </c>
      <c r="N38" s="132"/>
      <c r="O38" s="75">
        <f>VLOOKUP(B38,'Tarifa 2025'!$B$3:$C$101,2,)</f>
        <v>32.96</v>
      </c>
      <c r="P38" s="75" t="s">
        <v>98</v>
      </c>
      <c r="Q38" s="75" t="s">
        <v>98</v>
      </c>
    </row>
    <row r="39" spans="1:17">
      <c r="A39" s="504"/>
      <c r="B39" s="95" t="s">
        <v>569</v>
      </c>
      <c r="C39" s="193">
        <f t="shared" si="0"/>
        <v>35.695</v>
      </c>
      <c r="D39" s="97">
        <v>1</v>
      </c>
      <c r="E39" s="97"/>
      <c r="F39" s="97">
        <v>1</v>
      </c>
      <c r="G39" s="97" t="s">
        <v>453</v>
      </c>
      <c r="H39" s="97" t="s">
        <v>98</v>
      </c>
      <c r="I39" s="97" t="s">
        <v>453</v>
      </c>
      <c r="J39" s="97" t="s">
        <v>98</v>
      </c>
      <c r="K39" s="157" t="str">
        <f t="shared" si="1"/>
        <v>-</v>
      </c>
      <c r="L39" s="160">
        <v>45292</v>
      </c>
      <c r="M39" s="223">
        <v>0.05</v>
      </c>
      <c r="N39" s="132">
        <v>36.450000000000003</v>
      </c>
      <c r="O39" s="75">
        <f>VLOOKUP(B39,'Tarifa 2025'!$B$3:$C$101,2,)</f>
        <v>35.695</v>
      </c>
      <c r="P39" s="75" t="s">
        <v>98</v>
      </c>
      <c r="Q39" s="75" t="s">
        <v>98</v>
      </c>
    </row>
    <row r="40" spans="1:17">
      <c r="A40" s="504"/>
      <c r="B40" s="155" t="s">
        <v>567</v>
      </c>
      <c r="C40" s="193">
        <f t="shared" si="0"/>
        <v>38.43</v>
      </c>
      <c r="D40" s="157">
        <v>1</v>
      </c>
      <c r="E40" s="157"/>
      <c r="F40" s="157">
        <v>1</v>
      </c>
      <c r="G40" s="157" t="s">
        <v>453</v>
      </c>
      <c r="H40" s="157" t="s">
        <v>98</v>
      </c>
      <c r="I40" s="157" t="s">
        <v>453</v>
      </c>
      <c r="J40" s="157" t="s">
        <v>98</v>
      </c>
      <c r="K40" s="157" t="str">
        <f t="shared" si="1"/>
        <v>-</v>
      </c>
      <c r="L40" s="160">
        <v>45292</v>
      </c>
      <c r="M40" s="223">
        <v>0.05</v>
      </c>
      <c r="N40" s="132"/>
      <c r="O40" s="75">
        <f>VLOOKUP(B40,'Tarifa 2025'!$B$3:$C$101,2,)</f>
        <v>38.43</v>
      </c>
      <c r="P40" s="75" t="s">
        <v>98</v>
      </c>
      <c r="Q40" s="75" t="s">
        <v>98</v>
      </c>
    </row>
    <row r="41" spans="1:17">
      <c r="A41" s="504"/>
      <c r="B41" s="95" t="s">
        <v>570</v>
      </c>
      <c r="C41" s="193">
        <f t="shared" si="0"/>
        <v>41.18</v>
      </c>
      <c r="D41" s="97">
        <v>1</v>
      </c>
      <c r="E41" s="97"/>
      <c r="F41" s="97">
        <v>1</v>
      </c>
      <c r="G41" s="97" t="s">
        <v>453</v>
      </c>
      <c r="H41" s="97" t="s">
        <v>98</v>
      </c>
      <c r="I41" s="97" t="s">
        <v>453</v>
      </c>
      <c r="J41" s="97" t="s">
        <v>98</v>
      </c>
      <c r="K41" s="157" t="str">
        <f t="shared" si="1"/>
        <v>-</v>
      </c>
      <c r="L41" s="160">
        <v>45292</v>
      </c>
      <c r="M41" s="223">
        <v>0.05</v>
      </c>
      <c r="N41" s="132">
        <v>42.06</v>
      </c>
      <c r="O41" s="75">
        <f>VLOOKUP(B41,'Tarifa 2025'!$B$3:$C$101,2,)</f>
        <v>41.18</v>
      </c>
      <c r="P41" s="75" t="s">
        <v>98</v>
      </c>
      <c r="Q41" s="75" t="s">
        <v>98</v>
      </c>
    </row>
    <row r="42" spans="1:17">
      <c r="A42" s="504"/>
      <c r="B42" s="155" t="s">
        <v>571</v>
      </c>
      <c r="C42" s="193">
        <f t="shared" si="0"/>
        <v>43.93</v>
      </c>
      <c r="D42" s="157">
        <v>1</v>
      </c>
      <c r="E42" s="157"/>
      <c r="F42" s="157">
        <v>1</v>
      </c>
      <c r="G42" s="157" t="s">
        <v>453</v>
      </c>
      <c r="H42" s="157" t="s">
        <v>98</v>
      </c>
      <c r="I42" s="157" t="s">
        <v>453</v>
      </c>
      <c r="J42" s="157" t="s">
        <v>98</v>
      </c>
      <c r="K42" s="157" t="str">
        <f t="shared" si="1"/>
        <v>-</v>
      </c>
      <c r="L42" s="160">
        <v>45292</v>
      </c>
      <c r="M42" s="223">
        <v>0.05</v>
      </c>
      <c r="O42" s="75">
        <f>VLOOKUP(B42,'Tarifa 2025'!$B$3:$C$101,2,)</f>
        <v>43.93</v>
      </c>
      <c r="P42" s="75" t="s">
        <v>98</v>
      </c>
      <c r="Q42" s="75" t="s">
        <v>98</v>
      </c>
    </row>
    <row r="43" spans="1:17">
      <c r="A43" s="504"/>
      <c r="B43" s="95" t="s">
        <v>98</v>
      </c>
      <c r="C43" s="193">
        <f t="shared" si="0"/>
        <v>0</v>
      </c>
      <c r="D43" s="97"/>
      <c r="E43" s="97"/>
      <c r="F43" s="98"/>
      <c r="G43" s="97"/>
      <c r="H43" s="97"/>
      <c r="I43" s="97"/>
      <c r="J43" s="97"/>
      <c r="K43" s="157">
        <f t="shared" si="1"/>
        <v>0</v>
      </c>
      <c r="L43" s="160">
        <v>45292</v>
      </c>
      <c r="O43" s="75">
        <f>VLOOKUP(B43,'Tarifa 2025'!$B$3:$C$101,2,)</f>
        <v>0</v>
      </c>
      <c r="P43" s="75">
        <v>0</v>
      </c>
      <c r="Q43" s="75">
        <v>0</v>
      </c>
    </row>
    <row r="44" spans="1:17">
      <c r="A44" s="504"/>
      <c r="B44" s="155" t="s">
        <v>572</v>
      </c>
      <c r="C44" s="193">
        <f t="shared" si="0"/>
        <v>12.602857142857143</v>
      </c>
      <c r="D44" s="157">
        <v>1</v>
      </c>
      <c r="E44" s="156"/>
      <c r="F44" s="159">
        <v>10.5</v>
      </c>
      <c r="G44" s="157" t="s">
        <v>453</v>
      </c>
      <c r="H44" s="157" t="s">
        <v>98</v>
      </c>
      <c r="I44" s="157" t="s">
        <v>453</v>
      </c>
      <c r="J44" s="157" t="s">
        <v>98</v>
      </c>
      <c r="K44" s="157" t="str">
        <f t="shared" si="1"/>
        <v>-</v>
      </c>
      <c r="L44" s="160">
        <v>45292</v>
      </c>
      <c r="M44" s="223">
        <v>0.1</v>
      </c>
      <c r="O44" s="75">
        <f>VLOOKUP(B44,'Tarifa 2025'!$B$3:$C$101,2,)</f>
        <v>12.602857142857143</v>
      </c>
      <c r="P44" s="75" t="s">
        <v>98</v>
      </c>
      <c r="Q44" s="75" t="s">
        <v>98</v>
      </c>
    </row>
    <row r="45" spans="1:17">
      <c r="A45" s="504"/>
      <c r="B45" s="155" t="s">
        <v>573</v>
      </c>
      <c r="C45" s="193">
        <f t="shared" si="0"/>
        <v>17.77</v>
      </c>
      <c r="D45" s="157">
        <v>1</v>
      </c>
      <c r="E45" s="156"/>
      <c r="F45" s="158">
        <v>7.5</v>
      </c>
      <c r="G45" s="157" t="s">
        <v>453</v>
      </c>
      <c r="H45" s="157" t="s">
        <v>98</v>
      </c>
      <c r="I45" s="157" t="s">
        <v>453</v>
      </c>
      <c r="J45" s="157" t="s">
        <v>98</v>
      </c>
      <c r="K45" s="157" t="str">
        <f t="shared" si="1"/>
        <v>-</v>
      </c>
      <c r="L45" s="160">
        <v>45292</v>
      </c>
      <c r="M45" s="223">
        <v>0.1</v>
      </c>
      <c r="O45" s="75">
        <f>VLOOKUP(B45,'Tarifa 2025'!$B$3:$C$101,2,)</f>
        <v>17.77</v>
      </c>
      <c r="P45" s="75" t="s">
        <v>98</v>
      </c>
      <c r="Q45" s="75" t="s">
        <v>98</v>
      </c>
    </row>
    <row r="46" spans="1:17">
      <c r="A46" s="504"/>
      <c r="B46" s="155" t="s">
        <v>574</v>
      </c>
      <c r="C46" s="193">
        <f t="shared" si="0"/>
        <v>20.996666666666666</v>
      </c>
      <c r="D46" s="157">
        <v>1</v>
      </c>
      <c r="E46" s="156"/>
      <c r="F46" s="158">
        <v>6</v>
      </c>
      <c r="G46" s="157" t="s">
        <v>453</v>
      </c>
      <c r="H46" s="157" t="s">
        <v>98</v>
      </c>
      <c r="I46" s="157" t="s">
        <v>453</v>
      </c>
      <c r="J46" s="157" t="s">
        <v>98</v>
      </c>
      <c r="K46" s="157" t="str">
        <f t="shared" si="1"/>
        <v>-</v>
      </c>
      <c r="L46" s="160">
        <v>45292</v>
      </c>
      <c r="M46" s="223">
        <v>0.1</v>
      </c>
      <c r="O46" s="75">
        <f>VLOOKUP(B46,'Tarifa 2025'!$B$3:$C$101,2,)</f>
        <v>20.996666666666666</v>
      </c>
      <c r="P46" s="75" t="s">
        <v>98</v>
      </c>
      <c r="Q46" s="75" t="s">
        <v>98</v>
      </c>
    </row>
    <row r="47" spans="1:17">
      <c r="A47" s="504"/>
      <c r="B47" s="155" t="s">
        <v>575</v>
      </c>
      <c r="C47" s="193">
        <f t="shared" si="0"/>
        <v>26.74</v>
      </c>
      <c r="D47" s="157">
        <v>1</v>
      </c>
      <c r="E47" s="156"/>
      <c r="F47" s="158">
        <v>5.25</v>
      </c>
      <c r="G47" s="157" t="s">
        <v>453</v>
      </c>
      <c r="H47" s="157" t="s">
        <v>98</v>
      </c>
      <c r="I47" s="157" t="s">
        <v>453</v>
      </c>
      <c r="J47" s="157" t="s">
        <v>98</v>
      </c>
      <c r="K47" s="157" t="str">
        <f t="shared" si="1"/>
        <v>-</v>
      </c>
      <c r="L47" s="160">
        <v>45292</v>
      </c>
      <c r="M47" s="223">
        <v>0.1</v>
      </c>
      <c r="O47" s="75">
        <f>VLOOKUP(B47,'Tarifa 2025'!$B$3:$C$101,2,)</f>
        <v>26.74</v>
      </c>
      <c r="P47" s="75" t="s">
        <v>98</v>
      </c>
      <c r="Q47" s="75" t="s">
        <v>98</v>
      </c>
    </row>
    <row r="48" spans="1:17">
      <c r="A48" s="504"/>
      <c r="B48" s="155" t="s">
        <v>576</v>
      </c>
      <c r="C48" s="193">
        <f t="shared" si="0"/>
        <v>35.659999999999997</v>
      </c>
      <c r="D48" s="157">
        <v>1</v>
      </c>
      <c r="E48" s="156"/>
      <c r="F48" s="158">
        <v>3.75</v>
      </c>
      <c r="G48" s="157" t="s">
        <v>453</v>
      </c>
      <c r="H48" s="157" t="s">
        <v>98</v>
      </c>
      <c r="I48" s="157" t="s">
        <v>453</v>
      </c>
      <c r="J48" s="157" t="s">
        <v>98</v>
      </c>
      <c r="K48" s="157" t="str">
        <f t="shared" si="1"/>
        <v>-</v>
      </c>
      <c r="L48" s="160">
        <v>45292</v>
      </c>
      <c r="M48" s="223">
        <v>0.1</v>
      </c>
      <c r="O48" s="75">
        <f>VLOOKUP(B48,'Tarifa 2025'!$B$3:$C$101,2,)</f>
        <v>35.659999999999997</v>
      </c>
      <c r="P48" s="75" t="s">
        <v>98</v>
      </c>
      <c r="Q48" s="75" t="s">
        <v>98</v>
      </c>
    </row>
    <row r="49" spans="1:17">
      <c r="A49" s="504"/>
      <c r="B49" s="155" t="s">
        <v>577</v>
      </c>
      <c r="C49" s="193">
        <f t="shared" si="0"/>
        <v>44.54</v>
      </c>
      <c r="D49" s="157">
        <v>1</v>
      </c>
      <c r="E49" s="156"/>
      <c r="F49" s="158">
        <v>3</v>
      </c>
      <c r="G49" s="157" t="s">
        <v>453</v>
      </c>
      <c r="H49" s="157" t="s">
        <v>98</v>
      </c>
      <c r="I49" s="157" t="s">
        <v>453</v>
      </c>
      <c r="J49" s="157" t="s">
        <v>98</v>
      </c>
      <c r="K49" s="157" t="str">
        <f t="shared" si="1"/>
        <v>-</v>
      </c>
      <c r="L49" s="160">
        <v>45292</v>
      </c>
      <c r="M49" s="223">
        <v>0.1</v>
      </c>
      <c r="O49" s="75">
        <f>VLOOKUP(B49,'Tarifa 2025'!$B$3:$C$101,2,)</f>
        <v>44.54</v>
      </c>
      <c r="P49" s="75" t="s">
        <v>98</v>
      </c>
      <c r="Q49" s="75" t="s">
        <v>98</v>
      </c>
    </row>
    <row r="50" spans="1:17">
      <c r="A50" s="504"/>
      <c r="B50" s="155" t="s">
        <v>578</v>
      </c>
      <c r="C50" s="193">
        <f t="shared" si="0"/>
        <v>49.24</v>
      </c>
      <c r="D50" s="157">
        <v>1</v>
      </c>
      <c r="E50" s="156"/>
      <c r="F50" s="158">
        <v>2</v>
      </c>
      <c r="G50" s="157" t="s">
        <v>453</v>
      </c>
      <c r="H50" s="157" t="s">
        <v>98</v>
      </c>
      <c r="I50" s="157" t="s">
        <v>453</v>
      </c>
      <c r="J50" s="157" t="s">
        <v>98</v>
      </c>
      <c r="K50" s="157" t="str">
        <f t="shared" si="1"/>
        <v>-</v>
      </c>
      <c r="L50" s="160">
        <v>45292</v>
      </c>
      <c r="M50" s="223">
        <v>0.1</v>
      </c>
      <c r="O50" s="75">
        <f>VLOOKUP(B50,'Tarifa 2025'!$B$3:$C$101,2,)</f>
        <v>49.24</v>
      </c>
      <c r="P50" s="75" t="s">
        <v>98</v>
      </c>
      <c r="Q50" s="75" t="s">
        <v>98</v>
      </c>
    </row>
    <row r="51" spans="1:17">
      <c r="A51" s="504"/>
      <c r="B51" s="107" t="s">
        <v>98</v>
      </c>
      <c r="C51" s="193">
        <f t="shared" si="0"/>
        <v>0</v>
      </c>
      <c r="D51" s="97"/>
      <c r="E51" s="96"/>
      <c r="F51" s="98"/>
      <c r="G51" s="97"/>
      <c r="H51" s="97"/>
      <c r="I51" s="97"/>
      <c r="J51" s="97"/>
      <c r="K51" s="157">
        <f t="shared" si="1"/>
        <v>0</v>
      </c>
      <c r="L51" s="160">
        <v>45292</v>
      </c>
      <c r="O51" s="75">
        <f>VLOOKUP(B51,'Tarifa 2025'!$B$3:$C$101,2,)</f>
        <v>0</v>
      </c>
      <c r="P51" s="75">
        <v>0</v>
      </c>
      <c r="Q51" s="75">
        <v>0</v>
      </c>
    </row>
    <row r="52" spans="1:17">
      <c r="A52" s="504"/>
      <c r="B52" s="146" t="s">
        <v>579</v>
      </c>
      <c r="C52" s="193" t="e">
        <f t="shared" si="0"/>
        <v>#N/A</v>
      </c>
      <c r="D52" s="147">
        <v>1</v>
      </c>
      <c r="E52" s="147"/>
      <c r="F52" s="148">
        <v>12.957855822550831</v>
      </c>
      <c r="G52" s="147" t="s">
        <v>453</v>
      </c>
      <c r="H52" s="147" t="s">
        <v>98</v>
      </c>
      <c r="I52" s="147" t="s">
        <v>453</v>
      </c>
      <c r="J52" s="194">
        <v>274.02</v>
      </c>
      <c r="K52" s="157" t="e">
        <f t="shared" si="1"/>
        <v>#N/A</v>
      </c>
      <c r="L52" s="160">
        <v>45292</v>
      </c>
      <c r="M52" s="195" t="s">
        <v>460</v>
      </c>
      <c r="O52" s="75" t="e">
        <f>VLOOKUP(B52,'Tarifa 2025'!$B$3:$C$101,2,)</f>
        <v>#N/A</v>
      </c>
      <c r="P52" s="75" t="e">
        <v>#N/A</v>
      </c>
      <c r="Q52" s="75" t="e">
        <v>#N/A</v>
      </c>
    </row>
    <row r="53" spans="1:17">
      <c r="A53" s="504"/>
      <c r="B53" s="146" t="s">
        <v>580</v>
      </c>
      <c r="C53" s="193" t="e">
        <f t="shared" si="0"/>
        <v>#N/A</v>
      </c>
      <c r="D53" s="147">
        <v>1</v>
      </c>
      <c r="E53" s="147"/>
      <c r="F53" s="148"/>
      <c r="G53" s="147" t="s">
        <v>453</v>
      </c>
      <c r="H53" s="147" t="s">
        <v>98</v>
      </c>
      <c r="I53" s="147" t="s">
        <v>453</v>
      </c>
      <c r="J53" s="194"/>
      <c r="K53" s="157" t="e">
        <f t="shared" si="1"/>
        <v>#N/A</v>
      </c>
      <c r="L53" s="160">
        <v>45292</v>
      </c>
      <c r="M53" s="195" t="s">
        <v>460</v>
      </c>
      <c r="O53" s="75" t="e">
        <f>VLOOKUP(B53,'Tarifa 2025'!$B$3:$C$101,2,)</f>
        <v>#N/A</v>
      </c>
      <c r="P53" s="75" t="e">
        <v>#N/A</v>
      </c>
      <c r="Q53" s="75" t="e">
        <v>#N/A</v>
      </c>
    </row>
    <row r="54" spans="1:17">
      <c r="A54" s="504"/>
      <c r="B54" s="146" t="s">
        <v>581</v>
      </c>
      <c r="C54" s="193" t="e">
        <f t="shared" si="0"/>
        <v>#N/A</v>
      </c>
      <c r="D54" s="147">
        <v>1</v>
      </c>
      <c r="E54" s="147"/>
      <c r="F54" s="148">
        <v>6.72</v>
      </c>
      <c r="G54" s="147" t="s">
        <v>453</v>
      </c>
      <c r="H54" s="147" t="s">
        <v>98</v>
      </c>
      <c r="I54" s="147" t="s">
        <v>453</v>
      </c>
      <c r="J54" s="194">
        <v>340.51</v>
      </c>
      <c r="K54" s="157" t="e">
        <f t="shared" si="1"/>
        <v>#N/A</v>
      </c>
      <c r="L54" s="160">
        <v>45292</v>
      </c>
      <c r="M54" s="195" t="s">
        <v>460</v>
      </c>
      <c r="O54" s="75" t="e">
        <f>VLOOKUP(B54,'Tarifa 2025'!$B$3:$C$101,2,)</f>
        <v>#N/A</v>
      </c>
      <c r="P54" s="75" t="e">
        <v>#N/A</v>
      </c>
      <c r="Q54" s="75" t="e">
        <v>#N/A</v>
      </c>
    </row>
    <row r="55" spans="1:17">
      <c r="A55" s="504"/>
      <c r="B55" s="146" t="s">
        <v>582</v>
      </c>
      <c r="C55" s="193" t="e">
        <f t="shared" si="0"/>
        <v>#N/A</v>
      </c>
      <c r="D55" s="147">
        <v>1</v>
      </c>
      <c r="E55" s="147"/>
      <c r="F55" s="148"/>
      <c r="G55" s="147" t="s">
        <v>453</v>
      </c>
      <c r="H55" s="147" t="s">
        <v>98</v>
      </c>
      <c r="I55" s="147" t="s">
        <v>453</v>
      </c>
      <c r="J55" s="194"/>
      <c r="K55" s="157" t="e">
        <f t="shared" si="1"/>
        <v>#N/A</v>
      </c>
      <c r="L55" s="160">
        <v>45292</v>
      </c>
      <c r="M55" s="195" t="s">
        <v>460</v>
      </c>
      <c r="O55" s="75" t="e">
        <f>VLOOKUP(B55,'Tarifa 2025'!$B$3:$C$101,2,)</f>
        <v>#N/A</v>
      </c>
      <c r="P55" s="75" t="e">
        <v>#N/A</v>
      </c>
      <c r="Q55" s="75" t="e">
        <v>#N/A</v>
      </c>
    </row>
    <row r="56" spans="1:17">
      <c r="A56" s="504"/>
      <c r="B56" s="146" t="s">
        <v>583</v>
      </c>
      <c r="C56" s="193" t="e">
        <f t="shared" si="0"/>
        <v>#N/A</v>
      </c>
      <c r="D56" s="147">
        <v>1</v>
      </c>
      <c r="E56" s="147"/>
      <c r="F56" s="148">
        <v>4.8</v>
      </c>
      <c r="G56" s="147" t="s">
        <v>453</v>
      </c>
      <c r="H56" s="147" t="s">
        <v>98</v>
      </c>
      <c r="I56" s="147" t="s">
        <v>453</v>
      </c>
      <c r="J56" s="194">
        <v>364.25</v>
      </c>
      <c r="K56" s="157" t="e">
        <f t="shared" si="1"/>
        <v>#N/A</v>
      </c>
      <c r="L56" s="160">
        <v>45292</v>
      </c>
      <c r="M56" s="195" t="s">
        <v>460</v>
      </c>
      <c r="O56" s="75" t="e">
        <f>VLOOKUP(B56,'Tarifa 2025'!$B$3:$C$101,2,)</f>
        <v>#N/A</v>
      </c>
      <c r="P56" s="75" t="e">
        <v>#N/A</v>
      </c>
      <c r="Q56" s="75" t="e">
        <v>#N/A</v>
      </c>
    </row>
    <row r="57" spans="1:17">
      <c r="A57" s="504"/>
      <c r="B57" s="146" t="s">
        <v>584</v>
      </c>
      <c r="C57" s="193" t="e">
        <f t="shared" si="0"/>
        <v>#N/A</v>
      </c>
      <c r="D57" s="147">
        <v>1</v>
      </c>
      <c r="E57" s="147"/>
      <c r="F57" s="148"/>
      <c r="G57" s="147" t="s">
        <v>453</v>
      </c>
      <c r="H57" s="147" t="s">
        <v>98</v>
      </c>
      <c r="I57" s="147" t="s">
        <v>453</v>
      </c>
      <c r="J57" s="194"/>
      <c r="K57" s="157" t="e">
        <f t="shared" si="1"/>
        <v>#N/A</v>
      </c>
      <c r="L57" s="160">
        <v>45292</v>
      </c>
      <c r="M57" s="195" t="s">
        <v>460</v>
      </c>
      <c r="O57" s="75" t="e">
        <f>VLOOKUP(B57,'Tarifa 2025'!$B$3:$C$101,2,)</f>
        <v>#N/A</v>
      </c>
      <c r="P57" s="75" t="e">
        <v>#N/A</v>
      </c>
      <c r="Q57" s="75" t="e">
        <v>#N/A</v>
      </c>
    </row>
    <row r="58" spans="1:17">
      <c r="A58" s="504"/>
      <c r="B58" s="146" t="s">
        <v>585</v>
      </c>
      <c r="C58" s="193" t="e">
        <f t="shared" si="0"/>
        <v>#N/A</v>
      </c>
      <c r="D58" s="147">
        <v>1</v>
      </c>
      <c r="E58" s="147"/>
      <c r="F58" s="148">
        <v>3.36</v>
      </c>
      <c r="G58" s="147" t="s">
        <v>453</v>
      </c>
      <c r="H58" s="147" t="s">
        <v>98</v>
      </c>
      <c r="I58" s="147" t="s">
        <v>453</v>
      </c>
      <c r="J58" s="194">
        <v>340.22</v>
      </c>
      <c r="K58" s="157" t="e">
        <f t="shared" si="1"/>
        <v>#N/A</v>
      </c>
      <c r="L58" s="160">
        <v>45292</v>
      </c>
      <c r="M58" s="195" t="s">
        <v>460</v>
      </c>
      <c r="O58" s="75" t="e">
        <f>VLOOKUP(B58,'Tarifa 2025'!$B$3:$C$101,2,)</f>
        <v>#N/A</v>
      </c>
      <c r="P58" s="75" t="e">
        <v>#N/A</v>
      </c>
      <c r="Q58" s="75" t="e">
        <v>#N/A</v>
      </c>
    </row>
    <row r="59" spans="1:17">
      <c r="A59" s="504"/>
      <c r="B59" s="146" t="s">
        <v>586</v>
      </c>
      <c r="C59" s="193" t="e">
        <f t="shared" si="0"/>
        <v>#N/A</v>
      </c>
      <c r="D59" s="147">
        <v>1</v>
      </c>
      <c r="E59" s="147"/>
      <c r="F59" s="148"/>
      <c r="G59" s="147" t="s">
        <v>453</v>
      </c>
      <c r="H59" s="147" t="s">
        <v>98</v>
      </c>
      <c r="I59" s="147" t="s">
        <v>453</v>
      </c>
      <c r="J59" s="194"/>
      <c r="K59" s="157" t="e">
        <f t="shared" si="1"/>
        <v>#N/A</v>
      </c>
      <c r="L59" s="160">
        <v>45292</v>
      </c>
      <c r="M59" s="195" t="s">
        <v>460</v>
      </c>
      <c r="O59" s="75" t="e">
        <f>VLOOKUP(B59,'Tarifa 2025'!$B$3:$C$101,2,)</f>
        <v>#N/A</v>
      </c>
      <c r="P59" s="75" t="e">
        <v>#N/A</v>
      </c>
      <c r="Q59" s="75" t="e">
        <v>#N/A</v>
      </c>
    </row>
    <row r="60" spans="1:17">
      <c r="A60" s="504"/>
      <c r="B60" s="146" t="s">
        <v>587</v>
      </c>
      <c r="C60" s="193" t="e">
        <f t="shared" si="0"/>
        <v>#N/A</v>
      </c>
      <c r="D60" s="147">
        <v>1</v>
      </c>
      <c r="E60" s="147"/>
      <c r="F60" s="148">
        <v>2.88</v>
      </c>
      <c r="G60" s="147" t="s">
        <v>453</v>
      </c>
      <c r="H60" s="147" t="s">
        <v>98</v>
      </c>
      <c r="I60" s="147" t="s">
        <v>453</v>
      </c>
      <c r="J60" s="194">
        <v>362.67</v>
      </c>
      <c r="K60" s="157" t="e">
        <f t="shared" si="1"/>
        <v>#N/A</v>
      </c>
      <c r="L60" s="160">
        <v>45292</v>
      </c>
      <c r="M60" s="195" t="s">
        <v>460</v>
      </c>
      <c r="O60" s="75" t="e">
        <f>VLOOKUP(B60,'Tarifa 2025'!$B$3:$C$101,2,)</f>
        <v>#N/A</v>
      </c>
      <c r="P60" s="75" t="e">
        <v>#N/A</v>
      </c>
      <c r="Q60" s="75" t="e">
        <v>#N/A</v>
      </c>
    </row>
    <row r="61" spans="1:17">
      <c r="A61" s="504"/>
      <c r="B61" s="146" t="s">
        <v>588</v>
      </c>
      <c r="C61" s="193" t="e">
        <f t="shared" si="0"/>
        <v>#N/A</v>
      </c>
      <c r="D61" s="147">
        <v>1</v>
      </c>
      <c r="E61" s="147"/>
      <c r="F61" s="148">
        <v>2.4</v>
      </c>
      <c r="G61" s="147" t="s">
        <v>453</v>
      </c>
      <c r="H61" s="147" t="s">
        <v>98</v>
      </c>
      <c r="I61" s="147" t="s">
        <v>453</v>
      </c>
      <c r="J61" s="194">
        <v>362.78</v>
      </c>
      <c r="K61" s="157" t="e">
        <f t="shared" si="1"/>
        <v>#N/A</v>
      </c>
      <c r="L61" s="160">
        <v>45292</v>
      </c>
      <c r="M61" s="195" t="s">
        <v>460</v>
      </c>
      <c r="O61" s="75" t="e">
        <f>VLOOKUP(B61,'Tarifa 2025'!$B$3:$C$101,2,)</f>
        <v>#N/A</v>
      </c>
      <c r="P61" s="75" t="e">
        <v>#N/A</v>
      </c>
      <c r="Q61" s="75" t="e">
        <v>#N/A</v>
      </c>
    </row>
    <row r="62" spans="1:17">
      <c r="A62" s="504"/>
      <c r="B62" s="146" t="s">
        <v>589</v>
      </c>
      <c r="C62" s="193" t="e">
        <f t="shared" si="0"/>
        <v>#N/A</v>
      </c>
      <c r="D62" s="147">
        <v>1</v>
      </c>
      <c r="E62" s="147"/>
      <c r="F62" s="148">
        <v>1.92</v>
      </c>
      <c r="G62" s="147" t="s">
        <v>453</v>
      </c>
      <c r="H62" s="147" t="s">
        <v>98</v>
      </c>
      <c r="I62" s="147" t="s">
        <v>453</v>
      </c>
      <c r="J62" s="194">
        <v>337.13</v>
      </c>
      <c r="K62" s="157" t="e">
        <f t="shared" si="1"/>
        <v>#N/A</v>
      </c>
      <c r="L62" s="160">
        <v>45292</v>
      </c>
      <c r="M62" s="195" t="s">
        <v>460</v>
      </c>
      <c r="O62" s="75" t="e">
        <f>VLOOKUP(B62,'Tarifa 2025'!$B$3:$C$101,2,)</f>
        <v>#N/A</v>
      </c>
      <c r="P62" s="75" t="e">
        <v>#N/A</v>
      </c>
      <c r="Q62" s="75" t="e">
        <v>#N/A</v>
      </c>
    </row>
    <row r="63" spans="1:17">
      <c r="A63" s="504"/>
      <c r="B63" s="95" t="s">
        <v>98</v>
      </c>
      <c r="C63" s="193">
        <f t="shared" si="0"/>
        <v>0</v>
      </c>
      <c r="D63" s="97"/>
      <c r="E63" s="97"/>
      <c r="F63" s="98"/>
      <c r="G63" s="97"/>
      <c r="H63" s="97"/>
      <c r="I63" s="97"/>
      <c r="J63" s="97"/>
      <c r="K63" s="157">
        <f t="shared" si="1"/>
        <v>0</v>
      </c>
      <c r="L63" s="160">
        <v>45292</v>
      </c>
      <c r="O63" s="75">
        <f>VLOOKUP(B63,'Tarifa 2025'!$B$3:$C$101,2,)</f>
        <v>0</v>
      </c>
      <c r="P63" s="75">
        <v>0</v>
      </c>
      <c r="Q63" s="75">
        <v>0</v>
      </c>
    </row>
    <row r="64" spans="1:17">
      <c r="A64" s="504"/>
      <c r="B64" s="155" t="s">
        <v>590</v>
      </c>
      <c r="C64" s="193">
        <f t="shared" si="0"/>
        <v>20.78</v>
      </c>
      <c r="D64" s="157">
        <v>1</v>
      </c>
      <c r="E64" s="157"/>
      <c r="F64" s="158">
        <v>7.2</v>
      </c>
      <c r="G64" s="157" t="s">
        <v>453</v>
      </c>
      <c r="H64" s="157" t="s">
        <v>98</v>
      </c>
      <c r="I64" s="157" t="s">
        <v>453</v>
      </c>
      <c r="J64" s="193">
        <f>P64</f>
        <v>145.77000000000001</v>
      </c>
      <c r="K64" s="157">
        <f t="shared" si="1"/>
        <v>145.77000000000001</v>
      </c>
      <c r="L64" s="160">
        <v>45292</v>
      </c>
      <c r="O64" s="75">
        <f>VLOOKUP(B64,'Tarifa 2025'!$B$3:$C$101,2,)</f>
        <v>20.78</v>
      </c>
      <c r="P64" s="75">
        <v>145.77000000000001</v>
      </c>
      <c r="Q64" s="75">
        <v>145.77000000000001</v>
      </c>
    </row>
    <row r="65" spans="1:17">
      <c r="A65" s="504"/>
      <c r="B65" s="155" t="s">
        <v>591</v>
      </c>
      <c r="C65" s="193">
        <f t="shared" si="0"/>
        <v>30.96</v>
      </c>
      <c r="D65" s="157">
        <v>1</v>
      </c>
      <c r="E65" s="157"/>
      <c r="F65" s="158">
        <v>7.2</v>
      </c>
      <c r="G65" s="157" t="s">
        <v>453</v>
      </c>
      <c r="H65" s="157" t="s">
        <v>98</v>
      </c>
      <c r="I65" s="157" t="s">
        <v>453</v>
      </c>
      <c r="J65" s="193">
        <f t="shared" ref="J65:J113" si="2">P65</f>
        <v>217.3</v>
      </c>
      <c r="K65" s="157">
        <f t="shared" si="1"/>
        <v>217.3</v>
      </c>
      <c r="L65" s="160">
        <v>45292</v>
      </c>
      <c r="O65" s="75">
        <f>VLOOKUP(B65,'Tarifa 2025'!$B$3:$C$101,2,)</f>
        <v>30.96</v>
      </c>
      <c r="P65" s="75">
        <v>217.3</v>
      </c>
      <c r="Q65" s="75">
        <v>217.3</v>
      </c>
    </row>
    <row r="66" spans="1:17">
      <c r="A66" s="504"/>
      <c r="B66" s="155" t="s">
        <v>592</v>
      </c>
      <c r="C66" s="193">
        <f t="shared" si="0"/>
        <v>41.16</v>
      </c>
      <c r="D66" s="157">
        <v>1</v>
      </c>
      <c r="E66" s="157"/>
      <c r="F66" s="158">
        <v>3.6</v>
      </c>
      <c r="G66" s="157" t="s">
        <v>453</v>
      </c>
      <c r="H66" s="157" t="s">
        <v>98</v>
      </c>
      <c r="I66" s="157" t="s">
        <v>453</v>
      </c>
      <c r="J66" s="193">
        <f t="shared" si="2"/>
        <v>144.41999999999999</v>
      </c>
      <c r="K66" s="157">
        <f t="shared" si="1"/>
        <v>144.41999999999999</v>
      </c>
      <c r="L66" s="160">
        <v>45292</v>
      </c>
      <c r="O66" s="75">
        <f>VLOOKUP(B66,'Tarifa 2025'!$B$3:$C$101,2,)</f>
        <v>41.16</v>
      </c>
      <c r="P66" s="75">
        <v>144.41999999999999</v>
      </c>
      <c r="Q66" s="75">
        <v>144.41999999999999</v>
      </c>
    </row>
    <row r="67" spans="1:17">
      <c r="A67" s="504"/>
      <c r="B67" s="155" t="s">
        <v>593</v>
      </c>
      <c r="C67" s="193">
        <f t="shared" si="0"/>
        <v>51.35</v>
      </c>
      <c r="D67" s="157">
        <v>1</v>
      </c>
      <c r="E67" s="157"/>
      <c r="F67" s="158">
        <v>2.88</v>
      </c>
      <c r="G67" s="157" t="s">
        <v>453</v>
      </c>
      <c r="H67" s="157" t="s">
        <v>98</v>
      </c>
      <c r="I67" s="157" t="s">
        <v>453</v>
      </c>
      <c r="J67" s="193">
        <f t="shared" si="2"/>
        <v>144.15</v>
      </c>
      <c r="K67" s="157">
        <f t="shared" si="1"/>
        <v>144.15</v>
      </c>
      <c r="L67" s="160">
        <v>45292</v>
      </c>
      <c r="O67" s="75">
        <f>VLOOKUP(B67,'Tarifa 2025'!$B$3:$C$101,2,)</f>
        <v>51.35</v>
      </c>
      <c r="P67" s="75">
        <v>144.15</v>
      </c>
      <c r="Q67" s="75">
        <v>144.15</v>
      </c>
    </row>
    <row r="68" spans="1:17">
      <c r="A68" s="504"/>
      <c r="B68" s="155" t="s">
        <v>594</v>
      </c>
      <c r="C68" s="193">
        <f t="shared" si="0"/>
        <v>61.98</v>
      </c>
      <c r="D68" s="157">
        <v>1</v>
      </c>
      <c r="E68" s="157"/>
      <c r="F68" s="158">
        <v>3.6</v>
      </c>
      <c r="G68" s="157" t="s">
        <v>453</v>
      </c>
      <c r="H68" s="157" t="s">
        <v>98</v>
      </c>
      <c r="I68" s="157" t="s">
        <v>453</v>
      </c>
      <c r="J68" s="193">
        <f t="shared" si="2"/>
        <v>217.47</v>
      </c>
      <c r="K68" s="157">
        <f t="shared" si="1"/>
        <v>217.47</v>
      </c>
      <c r="L68" s="160">
        <v>45292</v>
      </c>
      <c r="O68" s="75">
        <f>VLOOKUP(B68,'Tarifa 2025'!$B$3:$C$101,2,)</f>
        <v>61.98</v>
      </c>
      <c r="P68" s="75">
        <v>217.47</v>
      </c>
      <c r="Q68" s="75">
        <v>217.47</v>
      </c>
    </row>
    <row r="69" spans="1:17">
      <c r="A69" s="504"/>
      <c r="B69" s="155" t="s">
        <v>595</v>
      </c>
      <c r="C69" s="193">
        <f t="shared" si="0"/>
        <v>71.12</v>
      </c>
      <c r="D69" s="157">
        <v>1</v>
      </c>
      <c r="E69" s="157"/>
      <c r="F69" s="158">
        <v>2.16</v>
      </c>
      <c r="G69" s="157" t="s">
        <v>453</v>
      </c>
      <c r="H69" s="157" t="s">
        <v>98</v>
      </c>
      <c r="I69" s="157" t="s">
        <v>453</v>
      </c>
      <c r="J69" s="193">
        <f t="shared" si="2"/>
        <v>150.03</v>
      </c>
      <c r="K69" s="157">
        <f t="shared" si="1"/>
        <v>150.03</v>
      </c>
      <c r="L69" s="160">
        <v>45292</v>
      </c>
      <c r="O69" s="75">
        <f>VLOOKUP(B69,'Tarifa 2025'!$B$3:$C$101,2,)</f>
        <v>71.12</v>
      </c>
      <c r="P69" s="75">
        <v>150.03</v>
      </c>
      <c r="Q69" s="75">
        <v>150.03</v>
      </c>
    </row>
    <row r="70" spans="1:17">
      <c r="A70" s="504"/>
      <c r="B70" s="95" t="s">
        <v>98</v>
      </c>
      <c r="C70" s="193">
        <f t="shared" si="0"/>
        <v>0</v>
      </c>
      <c r="D70" s="97"/>
      <c r="E70" s="97"/>
      <c r="F70" s="98"/>
      <c r="G70" s="97"/>
      <c r="H70" s="97"/>
      <c r="I70" s="97"/>
      <c r="J70" s="193">
        <f t="shared" si="2"/>
        <v>0</v>
      </c>
      <c r="K70" s="157">
        <f t="shared" si="1"/>
        <v>0</v>
      </c>
      <c r="L70" s="160">
        <v>45292</v>
      </c>
      <c r="O70" s="75">
        <f>VLOOKUP(B70,'Tarifa 2025'!$B$3:$C$101,2,)</f>
        <v>0</v>
      </c>
      <c r="P70" s="75">
        <v>0</v>
      </c>
      <c r="Q70" s="75">
        <v>0</v>
      </c>
    </row>
    <row r="71" spans="1:17">
      <c r="A71" s="504"/>
      <c r="B71" s="155" t="s">
        <v>596</v>
      </c>
      <c r="C71" s="193" t="e">
        <f t="shared" si="0"/>
        <v>#N/A</v>
      </c>
      <c r="D71" s="157">
        <v>1</v>
      </c>
      <c r="E71" s="157"/>
      <c r="F71" s="159">
        <v>7.2</v>
      </c>
      <c r="G71" s="157" t="s">
        <v>453</v>
      </c>
      <c r="H71" s="157" t="s">
        <v>98</v>
      </c>
      <c r="I71" s="157" t="s">
        <v>453</v>
      </c>
      <c r="J71" s="193" t="e">
        <f t="shared" si="2"/>
        <v>#N/A</v>
      </c>
      <c r="K71" s="157" t="e">
        <f t="shared" si="1"/>
        <v>#N/A</v>
      </c>
      <c r="L71" s="160">
        <v>45292</v>
      </c>
      <c r="M71" s="143"/>
      <c r="O71" s="75" t="e">
        <f>VLOOKUP(B71,'Tarifa 2025'!$B$3:$C$101,2,)</f>
        <v>#N/A</v>
      </c>
      <c r="P71" s="75" t="e">
        <v>#N/A</v>
      </c>
      <c r="Q71" s="75" t="e">
        <v>#N/A</v>
      </c>
    </row>
    <row r="72" spans="1:17">
      <c r="A72" s="504"/>
      <c r="B72" s="155" t="s">
        <v>597</v>
      </c>
      <c r="C72" s="193">
        <f t="shared" si="0"/>
        <v>27.33</v>
      </c>
      <c r="D72" s="157">
        <v>1</v>
      </c>
      <c r="E72" s="157"/>
      <c r="F72" s="159">
        <v>2.4</v>
      </c>
      <c r="G72" s="157" t="s">
        <v>453</v>
      </c>
      <c r="H72" s="157" t="s">
        <v>98</v>
      </c>
      <c r="I72" s="157" t="s">
        <v>453</v>
      </c>
      <c r="J72" s="193">
        <f t="shared" si="2"/>
        <v>95.9</v>
      </c>
      <c r="K72" s="157">
        <f t="shared" si="1"/>
        <v>95.9</v>
      </c>
      <c r="L72" s="160">
        <v>45292</v>
      </c>
      <c r="M72" s="143"/>
      <c r="O72" s="75">
        <f>VLOOKUP(B72,'Tarifa 2025'!$B$3:$C$101,2,)</f>
        <v>27.33</v>
      </c>
      <c r="P72" s="75">
        <v>95.9</v>
      </c>
      <c r="Q72" s="75">
        <v>95.9</v>
      </c>
    </row>
    <row r="73" spans="1:17">
      <c r="A73" s="504"/>
      <c r="B73" s="155" t="s">
        <v>598</v>
      </c>
      <c r="C73" s="193">
        <f t="shared" si="0"/>
        <v>37.49</v>
      </c>
      <c r="D73" s="157">
        <v>1</v>
      </c>
      <c r="E73" s="157"/>
      <c r="F73" s="159">
        <v>1.8</v>
      </c>
      <c r="G73" s="157" t="s">
        <v>453</v>
      </c>
      <c r="H73" s="157" t="s">
        <v>98</v>
      </c>
      <c r="I73" s="157" t="s">
        <v>453</v>
      </c>
      <c r="J73" s="193">
        <f t="shared" si="2"/>
        <v>109.61</v>
      </c>
      <c r="K73" s="157">
        <f t="shared" si="1"/>
        <v>109.61</v>
      </c>
      <c r="L73" s="160">
        <v>45292</v>
      </c>
      <c r="M73" s="143"/>
      <c r="O73" s="75">
        <f>VLOOKUP(B73,'Tarifa 2025'!$B$3:$C$101,2,)</f>
        <v>37.49</v>
      </c>
      <c r="P73" s="75">
        <v>109.61</v>
      </c>
      <c r="Q73" s="75">
        <v>109.61</v>
      </c>
    </row>
    <row r="74" spans="1:17">
      <c r="A74" s="504"/>
      <c r="B74" s="155" t="s">
        <v>599</v>
      </c>
      <c r="C74" s="193">
        <f t="shared" si="0"/>
        <v>48.17</v>
      </c>
      <c r="D74" s="157">
        <v>1</v>
      </c>
      <c r="E74" s="157"/>
      <c r="F74" s="159">
        <v>1.8</v>
      </c>
      <c r="G74" s="157" t="s">
        <v>453</v>
      </c>
      <c r="H74" s="157" t="s">
        <v>98</v>
      </c>
      <c r="I74" s="157" t="s">
        <v>453</v>
      </c>
      <c r="J74" s="193">
        <f t="shared" si="2"/>
        <v>84.51</v>
      </c>
      <c r="K74" s="157">
        <f t="shared" si="1"/>
        <v>84.51</v>
      </c>
      <c r="L74" s="160">
        <v>45292</v>
      </c>
      <c r="M74" s="143"/>
      <c r="O74" s="75">
        <f>VLOOKUP(B74,'Tarifa 2025'!$B$3:$C$101,2,)</f>
        <v>48.17</v>
      </c>
      <c r="P74" s="75">
        <v>84.51</v>
      </c>
      <c r="Q74" s="75">
        <v>84.51</v>
      </c>
    </row>
    <row r="75" spans="1:17">
      <c r="A75" s="504"/>
      <c r="B75" s="155" t="s">
        <v>600</v>
      </c>
      <c r="C75" s="193">
        <f t="shared" si="0"/>
        <v>57.99</v>
      </c>
      <c r="D75" s="157">
        <v>1</v>
      </c>
      <c r="E75" s="157"/>
      <c r="F75" s="159">
        <v>1.2</v>
      </c>
      <c r="G75" s="157" t="s">
        <v>453</v>
      </c>
      <c r="H75" s="157" t="s">
        <v>98</v>
      </c>
      <c r="I75" s="157" t="s">
        <v>453</v>
      </c>
      <c r="J75" s="193">
        <f t="shared" si="2"/>
        <v>101.74</v>
      </c>
      <c r="K75" s="157">
        <f t="shared" si="1"/>
        <v>101.74</v>
      </c>
      <c r="L75" s="160">
        <v>45292</v>
      </c>
      <c r="M75" s="143"/>
      <c r="O75" s="75">
        <f>VLOOKUP(B75,'Tarifa 2025'!$B$3:$C$101,2,)</f>
        <v>57.99</v>
      </c>
      <c r="P75" s="75">
        <v>101.74</v>
      </c>
      <c r="Q75" s="75">
        <v>101.74</v>
      </c>
    </row>
    <row r="76" spans="1:17">
      <c r="A76" s="504"/>
      <c r="B76" s="155" t="s">
        <v>601</v>
      </c>
      <c r="C76" s="193">
        <f t="shared" si="0"/>
        <v>65</v>
      </c>
      <c r="D76" s="157">
        <v>1</v>
      </c>
      <c r="E76" s="157"/>
      <c r="F76" s="159">
        <v>1.2</v>
      </c>
      <c r="G76" s="157" t="s">
        <v>453</v>
      </c>
      <c r="H76" s="157" t="s">
        <v>98</v>
      </c>
      <c r="I76" s="157" t="s">
        <v>453</v>
      </c>
      <c r="J76" s="193">
        <f t="shared" si="2"/>
        <v>114.04</v>
      </c>
      <c r="K76" s="157">
        <f t="shared" si="1"/>
        <v>114.04</v>
      </c>
      <c r="L76" s="160">
        <v>45292</v>
      </c>
      <c r="M76" s="143"/>
      <c r="O76" s="75">
        <f>VLOOKUP(B76,'Tarifa 2025'!$B$3:$C$101,2,)</f>
        <v>65</v>
      </c>
      <c r="P76" s="75">
        <v>114.04</v>
      </c>
      <c r="Q76" s="75">
        <v>114.04</v>
      </c>
    </row>
    <row r="77" spans="1:17">
      <c r="A77" s="504"/>
      <c r="B77" s="155" t="s">
        <v>602</v>
      </c>
      <c r="C77" s="193">
        <f t="shared" ref="C77:C140" si="3">O77</f>
        <v>75.150000000000006</v>
      </c>
      <c r="D77" s="157">
        <v>1</v>
      </c>
      <c r="E77" s="157"/>
      <c r="F77" s="159">
        <v>1.2</v>
      </c>
      <c r="G77" s="157" t="s">
        <v>453</v>
      </c>
      <c r="H77" s="157" t="s">
        <v>98</v>
      </c>
      <c r="I77" s="157" t="s">
        <v>453</v>
      </c>
      <c r="J77" s="193">
        <f t="shared" si="2"/>
        <v>87.9</v>
      </c>
      <c r="K77" s="157">
        <f t="shared" ref="K77:K114" si="4">Q77</f>
        <v>87.9</v>
      </c>
      <c r="L77" s="160">
        <v>45292</v>
      </c>
      <c r="M77" s="143"/>
      <c r="O77" s="75">
        <f>VLOOKUP(B77,'Tarifa 2025'!$B$3:$C$101,2,)</f>
        <v>75.150000000000006</v>
      </c>
      <c r="P77" s="75">
        <v>87.9</v>
      </c>
      <c r="Q77" s="75">
        <v>87.9</v>
      </c>
    </row>
    <row r="78" spans="1:17">
      <c r="A78" s="504"/>
      <c r="B78" s="155" t="s">
        <v>603</v>
      </c>
      <c r="C78" s="193">
        <f t="shared" si="3"/>
        <v>88.12</v>
      </c>
      <c r="D78" s="157">
        <v>1</v>
      </c>
      <c r="E78" s="157"/>
      <c r="F78" s="159">
        <v>1.2</v>
      </c>
      <c r="G78" s="157" t="s">
        <v>453</v>
      </c>
      <c r="H78" s="157" t="s">
        <v>98</v>
      </c>
      <c r="I78" s="157" t="s">
        <v>453</v>
      </c>
      <c r="J78" s="193">
        <f t="shared" si="2"/>
        <v>103.06</v>
      </c>
      <c r="K78" s="157">
        <f t="shared" si="4"/>
        <v>103.06</v>
      </c>
      <c r="L78" s="160">
        <v>45292</v>
      </c>
      <c r="M78" s="143"/>
      <c r="O78" s="75">
        <f>VLOOKUP(B78,'Tarifa 2025'!$B$3:$C$101,2,)</f>
        <v>88.12</v>
      </c>
      <c r="P78" s="75">
        <v>103.06</v>
      </c>
      <c r="Q78" s="75">
        <v>103.06</v>
      </c>
    </row>
    <row r="79" spans="1:17">
      <c r="A79" s="504"/>
      <c r="B79" s="155" t="s">
        <v>604</v>
      </c>
      <c r="C79" s="193">
        <f t="shared" si="3"/>
        <v>102.83</v>
      </c>
      <c r="D79" s="157">
        <v>1</v>
      </c>
      <c r="E79" s="157"/>
      <c r="F79" s="159">
        <v>0.6</v>
      </c>
      <c r="G79" s="157" t="s">
        <v>453</v>
      </c>
      <c r="H79" s="157" t="s">
        <v>98</v>
      </c>
      <c r="I79" s="157" t="s">
        <v>453</v>
      </c>
      <c r="J79" s="193">
        <f t="shared" si="2"/>
        <v>120.26</v>
      </c>
      <c r="K79" s="157">
        <f t="shared" si="4"/>
        <v>120.26</v>
      </c>
      <c r="L79" s="160">
        <v>45292</v>
      </c>
      <c r="M79" s="143"/>
      <c r="O79" s="75">
        <f>VLOOKUP(B79,'Tarifa 2025'!$B$3:$C$101,2,)</f>
        <v>102.83</v>
      </c>
      <c r="P79" s="75">
        <v>120.26</v>
      </c>
      <c r="Q79" s="75">
        <v>120.26</v>
      </c>
    </row>
    <row r="80" spans="1:17">
      <c r="A80" s="504"/>
      <c r="B80" s="155" t="s">
        <v>605</v>
      </c>
      <c r="C80" s="193">
        <f t="shared" si="3"/>
        <v>110.3</v>
      </c>
      <c r="D80" s="157">
        <v>1</v>
      </c>
      <c r="E80" s="157"/>
      <c r="F80" s="159">
        <v>0.6</v>
      </c>
      <c r="G80" s="157" t="s">
        <v>453</v>
      </c>
      <c r="H80" s="157" t="s">
        <v>98</v>
      </c>
      <c r="I80" s="157" t="s">
        <v>453</v>
      </c>
      <c r="J80" s="193">
        <f t="shared" si="2"/>
        <v>64.5</v>
      </c>
      <c r="K80" s="157">
        <f t="shared" si="4"/>
        <v>64.5</v>
      </c>
      <c r="L80" s="160">
        <v>45292</v>
      </c>
      <c r="M80" s="143"/>
      <c r="O80" s="75">
        <f>VLOOKUP(B80,'Tarifa 2025'!$B$3:$C$101,2,)</f>
        <v>110.3</v>
      </c>
      <c r="P80" s="75">
        <v>64.5</v>
      </c>
      <c r="Q80" s="75">
        <v>64.5</v>
      </c>
    </row>
    <row r="81" spans="1:17">
      <c r="A81" s="504"/>
      <c r="B81" s="155" t="s">
        <v>606</v>
      </c>
      <c r="C81" s="193">
        <f t="shared" si="3"/>
        <v>120.66</v>
      </c>
      <c r="D81" s="157">
        <v>1</v>
      </c>
      <c r="E81" s="157"/>
      <c r="F81" s="159">
        <v>0.6</v>
      </c>
      <c r="G81" s="157" t="s">
        <v>453</v>
      </c>
      <c r="H81" s="157" t="s">
        <v>98</v>
      </c>
      <c r="I81" s="157" t="s">
        <v>453</v>
      </c>
      <c r="J81" s="193">
        <f t="shared" si="2"/>
        <v>70.56</v>
      </c>
      <c r="K81" s="157">
        <f t="shared" si="4"/>
        <v>70.56</v>
      </c>
      <c r="L81" s="160">
        <v>45292</v>
      </c>
      <c r="M81" s="143"/>
      <c r="O81" s="75">
        <f>VLOOKUP(B81,'Tarifa 2025'!$B$3:$C$101,2,)</f>
        <v>120.66</v>
      </c>
      <c r="P81" s="75">
        <v>70.56</v>
      </c>
      <c r="Q81" s="75">
        <v>70.56</v>
      </c>
    </row>
    <row r="82" spans="1:17">
      <c r="A82" s="504"/>
      <c r="B82" s="155" t="s">
        <v>607</v>
      </c>
      <c r="C82" s="193">
        <f t="shared" si="3"/>
        <v>132.99</v>
      </c>
      <c r="D82" s="157">
        <v>1</v>
      </c>
      <c r="E82" s="157"/>
      <c r="F82" s="159">
        <v>0.6</v>
      </c>
      <c r="G82" s="157" t="s">
        <v>453</v>
      </c>
      <c r="H82" s="157" t="s">
        <v>98</v>
      </c>
      <c r="I82" s="157" t="s">
        <v>453</v>
      </c>
      <c r="J82" s="193">
        <f t="shared" si="2"/>
        <v>77.77</v>
      </c>
      <c r="K82" s="157">
        <f t="shared" si="4"/>
        <v>77.77</v>
      </c>
      <c r="L82" s="160">
        <v>45292</v>
      </c>
      <c r="M82" s="143"/>
      <c r="O82" s="75">
        <f>VLOOKUP(B82,'Tarifa 2025'!$B$3:$C$101,2,)</f>
        <v>132.99</v>
      </c>
      <c r="P82" s="75">
        <v>77.77</v>
      </c>
      <c r="Q82" s="75">
        <v>77.77</v>
      </c>
    </row>
    <row r="83" spans="1:17">
      <c r="A83" s="504"/>
      <c r="B83" s="155" t="s">
        <v>608</v>
      </c>
      <c r="C83" s="193">
        <f t="shared" si="3"/>
        <v>143.47</v>
      </c>
      <c r="D83" s="157">
        <v>1</v>
      </c>
      <c r="E83" s="157"/>
      <c r="F83" s="159">
        <v>0.6</v>
      </c>
      <c r="G83" s="157" t="s">
        <v>453</v>
      </c>
      <c r="H83" s="157" t="s">
        <v>98</v>
      </c>
      <c r="I83" s="157" t="s">
        <v>453</v>
      </c>
      <c r="J83" s="193">
        <f t="shared" si="2"/>
        <v>83.9</v>
      </c>
      <c r="K83" s="157">
        <f t="shared" si="4"/>
        <v>83.9</v>
      </c>
      <c r="L83" s="160">
        <v>45292</v>
      </c>
      <c r="M83" s="143"/>
      <c r="O83" s="75">
        <f>VLOOKUP(B83,'Tarifa 2025'!$B$3:$C$101,2,)</f>
        <v>143.47</v>
      </c>
      <c r="P83" s="75">
        <v>83.9</v>
      </c>
      <c r="Q83" s="75">
        <v>83.9</v>
      </c>
    </row>
    <row r="84" spans="1:17">
      <c r="A84" s="504"/>
      <c r="B84" s="155" t="s">
        <v>609</v>
      </c>
      <c r="C84" s="193">
        <f t="shared" si="3"/>
        <v>152.19999999999999</v>
      </c>
      <c r="D84" s="157">
        <v>1</v>
      </c>
      <c r="E84" s="157"/>
      <c r="F84" s="159">
        <v>0.6</v>
      </c>
      <c r="G84" s="157" t="s">
        <v>453</v>
      </c>
      <c r="H84" s="157" t="s">
        <v>98</v>
      </c>
      <c r="I84" s="157" t="s">
        <v>453</v>
      </c>
      <c r="J84" s="193">
        <f t="shared" si="2"/>
        <v>89.01</v>
      </c>
      <c r="K84" s="157">
        <f t="shared" si="4"/>
        <v>89.01</v>
      </c>
      <c r="L84" s="160">
        <v>45292</v>
      </c>
      <c r="M84" s="143"/>
      <c r="O84" s="75">
        <f>VLOOKUP(B84,'Tarifa 2025'!$B$3:$C$101,2,)</f>
        <v>152.19999999999999</v>
      </c>
      <c r="P84" s="75">
        <v>89.01</v>
      </c>
      <c r="Q84" s="75">
        <v>89.01</v>
      </c>
    </row>
    <row r="85" spans="1:17">
      <c r="A85" s="504"/>
      <c r="B85" s="155" t="s">
        <v>610</v>
      </c>
      <c r="C85" s="193">
        <f t="shared" si="3"/>
        <v>162.33000000000001</v>
      </c>
      <c r="D85" s="157">
        <v>1</v>
      </c>
      <c r="E85" s="157"/>
      <c r="F85" s="159">
        <v>0.6</v>
      </c>
      <c r="G85" s="157" t="s">
        <v>453</v>
      </c>
      <c r="H85" s="157" t="s">
        <v>98</v>
      </c>
      <c r="I85" s="157" t="s">
        <v>453</v>
      </c>
      <c r="J85" s="193">
        <f t="shared" si="2"/>
        <v>94.93</v>
      </c>
      <c r="K85" s="157">
        <f t="shared" si="4"/>
        <v>94.93</v>
      </c>
      <c r="L85" s="160">
        <v>45292</v>
      </c>
      <c r="M85" s="143"/>
      <c r="O85" s="75">
        <f>VLOOKUP(B85,'Tarifa 2025'!$B$3:$C$101,2,)</f>
        <v>162.33000000000001</v>
      </c>
      <c r="P85" s="75">
        <v>94.93</v>
      </c>
      <c r="Q85" s="75">
        <v>94.93</v>
      </c>
    </row>
    <row r="86" spans="1:17">
      <c r="A86" s="504"/>
      <c r="B86" s="95" t="s">
        <v>98</v>
      </c>
      <c r="C86" s="193">
        <f t="shared" si="3"/>
        <v>0</v>
      </c>
      <c r="D86" s="97"/>
      <c r="E86" s="97"/>
      <c r="F86" s="98"/>
      <c r="G86" s="97"/>
      <c r="H86" s="97"/>
      <c r="I86" s="97"/>
      <c r="J86" s="193">
        <f>P86</f>
        <v>0</v>
      </c>
      <c r="K86" s="157">
        <f t="shared" si="4"/>
        <v>0</v>
      </c>
      <c r="L86" s="160">
        <v>45292</v>
      </c>
      <c r="O86" s="75">
        <f>VLOOKUP(B86,'Tarifa 2025'!$B$3:$C$101,2,)</f>
        <v>0</v>
      </c>
      <c r="P86" s="75">
        <v>0</v>
      </c>
      <c r="Q86" s="75">
        <v>0</v>
      </c>
    </row>
    <row r="87" spans="1:17">
      <c r="A87" s="504"/>
      <c r="B87" s="146" t="s">
        <v>87</v>
      </c>
      <c r="C87" s="193" t="str">
        <f t="shared" si="3"/>
        <v>-</v>
      </c>
      <c r="D87" s="147">
        <v>1</v>
      </c>
      <c r="E87" s="147"/>
      <c r="F87" s="148">
        <v>14.4</v>
      </c>
      <c r="G87" s="147" t="s">
        <v>453</v>
      </c>
      <c r="H87" s="147" t="s">
        <v>98</v>
      </c>
      <c r="I87" s="147" t="s">
        <v>453</v>
      </c>
      <c r="J87" s="193">
        <f t="shared" si="2"/>
        <v>180.34</v>
      </c>
      <c r="K87" s="157">
        <f t="shared" si="4"/>
        <v>180.34</v>
      </c>
      <c r="L87" s="160">
        <v>45292</v>
      </c>
      <c r="O87" s="75" t="str">
        <f>VLOOKUP(B87,'Tarifa 2025'!$B$3:$C$101,2,)</f>
        <v>-</v>
      </c>
      <c r="P87" s="75">
        <v>180.34</v>
      </c>
      <c r="Q87" s="75">
        <v>180.34</v>
      </c>
    </row>
    <row r="88" spans="1:17">
      <c r="A88" s="504"/>
      <c r="B88" s="146" t="s">
        <v>88</v>
      </c>
      <c r="C88" s="193" t="e">
        <f t="shared" si="3"/>
        <v>#N/A</v>
      </c>
      <c r="D88" s="147">
        <v>1</v>
      </c>
      <c r="E88" s="147"/>
      <c r="F88" s="148">
        <v>9.36</v>
      </c>
      <c r="G88" s="147" t="s">
        <v>453</v>
      </c>
      <c r="H88" s="147" t="s">
        <v>98</v>
      </c>
      <c r="I88" s="147" t="s">
        <v>453</v>
      </c>
      <c r="J88" s="193" t="e">
        <f t="shared" si="2"/>
        <v>#N/A</v>
      </c>
      <c r="K88" s="157" t="e">
        <f t="shared" si="4"/>
        <v>#N/A</v>
      </c>
      <c r="L88" s="160">
        <v>45292</v>
      </c>
      <c r="O88" s="75" t="e">
        <f>VLOOKUP(B88,'Tarifa 2025'!$B$3:$C$101,2,)</f>
        <v>#N/A</v>
      </c>
      <c r="P88" s="75" t="e">
        <v>#N/A</v>
      </c>
      <c r="Q88" s="75" t="e">
        <v>#N/A</v>
      </c>
    </row>
    <row r="89" spans="1:17">
      <c r="A89" s="504"/>
      <c r="B89" s="95" t="s">
        <v>98</v>
      </c>
      <c r="C89" s="193">
        <f t="shared" si="3"/>
        <v>0</v>
      </c>
      <c r="D89" s="97"/>
      <c r="E89" s="97"/>
      <c r="F89" s="98"/>
      <c r="G89" s="97"/>
      <c r="H89" s="97"/>
      <c r="I89" s="97"/>
      <c r="J89" s="193">
        <f t="shared" si="2"/>
        <v>0</v>
      </c>
      <c r="K89" s="157">
        <f t="shared" si="4"/>
        <v>0</v>
      </c>
      <c r="L89" s="160">
        <v>45292</v>
      </c>
      <c r="O89" s="75">
        <f>VLOOKUP(B89,'Tarifa 2025'!$B$3:$C$101,2,)</f>
        <v>0</v>
      </c>
      <c r="P89" s="75">
        <v>0</v>
      </c>
      <c r="Q89" s="75">
        <v>0</v>
      </c>
    </row>
    <row r="90" spans="1:17">
      <c r="A90" s="504"/>
      <c r="B90" s="95" t="s">
        <v>691</v>
      </c>
      <c r="C90" s="193">
        <f t="shared" si="3"/>
        <v>31.587301587301585</v>
      </c>
      <c r="D90" s="97">
        <v>1</v>
      </c>
      <c r="E90" s="97"/>
      <c r="F90" s="99">
        <v>4.32</v>
      </c>
      <c r="G90" s="97" t="s">
        <v>453</v>
      </c>
      <c r="H90" s="97" t="s">
        <v>98</v>
      </c>
      <c r="I90" s="97" t="s">
        <v>453</v>
      </c>
      <c r="J90" s="193">
        <f t="shared" si="2"/>
        <v>167.48640000000003</v>
      </c>
      <c r="K90" s="157">
        <f t="shared" si="4"/>
        <v>167.48640000000003</v>
      </c>
      <c r="L90" s="160">
        <v>45292</v>
      </c>
      <c r="O90" s="75">
        <f>VLOOKUP(B90,'Tarifa 2025'!$B$3:$C$101,2,)</f>
        <v>31.587301587301585</v>
      </c>
      <c r="P90" s="75">
        <v>167.48640000000003</v>
      </c>
      <c r="Q90" s="75">
        <v>167.48640000000003</v>
      </c>
    </row>
    <row r="91" spans="1:17">
      <c r="A91" s="504"/>
      <c r="B91" s="95" t="s">
        <v>692</v>
      </c>
      <c r="C91" s="193">
        <f t="shared" si="3"/>
        <v>36.539351851851848</v>
      </c>
      <c r="D91" s="97">
        <v>1</v>
      </c>
      <c r="E91" s="97"/>
      <c r="F91" s="99">
        <v>3.6</v>
      </c>
      <c r="G91" s="97" t="s">
        <v>453</v>
      </c>
      <c r="H91" s="97" t="s">
        <v>98</v>
      </c>
      <c r="I91" s="97" t="s">
        <v>453</v>
      </c>
      <c r="J91" s="193">
        <f t="shared" si="2"/>
        <v>153.108</v>
      </c>
      <c r="K91" s="157">
        <f t="shared" si="4"/>
        <v>153.108</v>
      </c>
      <c r="L91" s="160">
        <v>45292</v>
      </c>
      <c r="O91" s="75">
        <f>VLOOKUP(B91,'Tarifa 2025'!$B$3:$C$101,2,)</f>
        <v>36.539351851851848</v>
      </c>
      <c r="P91" s="75">
        <v>153.108</v>
      </c>
      <c r="Q91" s="75">
        <v>153.108</v>
      </c>
    </row>
    <row r="92" spans="1:17">
      <c r="A92" s="504"/>
      <c r="B92" s="95" t="s">
        <v>693</v>
      </c>
      <c r="C92" s="193">
        <f t="shared" si="3"/>
        <v>46.95</v>
      </c>
      <c r="D92" s="97">
        <v>1</v>
      </c>
      <c r="E92" s="97"/>
      <c r="F92" s="99">
        <v>2.88</v>
      </c>
      <c r="G92" s="97" t="s">
        <v>453</v>
      </c>
      <c r="H92" s="97" t="s">
        <v>98</v>
      </c>
      <c r="I92" s="97" t="s">
        <v>453</v>
      </c>
      <c r="J92" s="193">
        <f t="shared" si="2"/>
        <v>162.9504</v>
      </c>
      <c r="K92" s="157">
        <f t="shared" si="4"/>
        <v>162.9504</v>
      </c>
      <c r="L92" s="160">
        <v>45292</v>
      </c>
      <c r="O92" s="75">
        <f>VLOOKUP(B92,'Tarifa 2025'!$B$3:$C$101,2,)</f>
        <v>46.95</v>
      </c>
      <c r="P92" s="75">
        <v>162.9504</v>
      </c>
      <c r="Q92" s="75">
        <v>162.9504</v>
      </c>
    </row>
    <row r="93" spans="1:17">
      <c r="A93" s="504"/>
      <c r="B93" s="95" t="s">
        <v>694</v>
      </c>
      <c r="C93" s="193">
        <f t="shared" si="3"/>
        <v>56.520833333333336</v>
      </c>
      <c r="D93" s="97">
        <v>1</v>
      </c>
      <c r="E93" s="97"/>
      <c r="F93" s="99">
        <v>2.16</v>
      </c>
      <c r="G93" s="97" t="s">
        <v>453</v>
      </c>
      <c r="H93" s="97" t="s">
        <v>98</v>
      </c>
      <c r="I93" s="97" t="s">
        <v>453</v>
      </c>
      <c r="J93" s="193">
        <f t="shared" si="2"/>
        <v>153.05760000000001</v>
      </c>
      <c r="K93" s="157">
        <f t="shared" si="4"/>
        <v>153.05760000000001</v>
      </c>
      <c r="L93" s="160">
        <v>45292</v>
      </c>
      <c r="O93" s="75">
        <f>VLOOKUP(B93,'Tarifa 2025'!$B$3:$C$101,2,)</f>
        <v>56.520833333333336</v>
      </c>
      <c r="P93" s="75">
        <v>153.05760000000001</v>
      </c>
      <c r="Q93" s="75">
        <v>153.05760000000001</v>
      </c>
    </row>
    <row r="94" spans="1:17">
      <c r="A94" s="504"/>
      <c r="B94" s="95" t="s">
        <v>695</v>
      </c>
      <c r="C94" s="193">
        <f t="shared" si="3"/>
        <v>63.351851851851848</v>
      </c>
      <c r="D94" s="97">
        <v>1</v>
      </c>
      <c r="E94" s="97"/>
      <c r="F94" s="99">
        <v>2.16</v>
      </c>
      <c r="G94" s="97" t="s">
        <v>453</v>
      </c>
      <c r="H94" s="97" t="s">
        <v>98</v>
      </c>
      <c r="I94" s="97" t="s">
        <v>453</v>
      </c>
      <c r="J94" s="193">
        <f t="shared" si="2"/>
        <v>183.92400000000004</v>
      </c>
      <c r="K94" s="157">
        <f t="shared" si="4"/>
        <v>183.92400000000004</v>
      </c>
      <c r="L94" s="160">
        <v>45292</v>
      </c>
      <c r="M94" s="94"/>
      <c r="O94" s="75">
        <f>VLOOKUP(B94,'Tarifa 2025'!$B$3:$C$101,2,)</f>
        <v>63.351851851851848</v>
      </c>
      <c r="P94" s="75">
        <v>183.92400000000004</v>
      </c>
      <c r="Q94" s="75">
        <v>183.92400000000004</v>
      </c>
    </row>
    <row r="95" spans="1:17">
      <c r="A95" s="504"/>
      <c r="B95" s="95" t="s">
        <v>696</v>
      </c>
      <c r="C95" s="193">
        <f t="shared" si="3"/>
        <v>73.25</v>
      </c>
      <c r="D95" s="97">
        <v>1</v>
      </c>
      <c r="E95" s="97"/>
      <c r="F95" s="99">
        <v>2.16</v>
      </c>
      <c r="G95" s="97" t="s">
        <v>453</v>
      </c>
      <c r="H95" s="97" t="s">
        <v>98</v>
      </c>
      <c r="I95" s="97" t="s">
        <v>453</v>
      </c>
      <c r="J95" s="193">
        <f t="shared" si="2"/>
        <v>212.15520000000001</v>
      </c>
      <c r="K95" s="157">
        <f t="shared" si="4"/>
        <v>212.15520000000001</v>
      </c>
      <c r="L95" s="160">
        <v>45292</v>
      </c>
      <c r="M95" s="94"/>
      <c r="O95" s="75">
        <f>VLOOKUP(B95,'Tarifa 2025'!$B$3:$C$101,2,)</f>
        <v>73.25</v>
      </c>
      <c r="P95" s="75">
        <v>212.15520000000001</v>
      </c>
      <c r="Q95" s="75">
        <v>212.15520000000001</v>
      </c>
    </row>
    <row r="96" spans="1:17">
      <c r="A96" s="504"/>
      <c r="B96" s="95" t="s">
        <v>697</v>
      </c>
      <c r="C96" s="193">
        <f t="shared" si="3"/>
        <v>85.888888888888886</v>
      </c>
      <c r="D96" s="97">
        <v>1</v>
      </c>
      <c r="E96" s="97"/>
      <c r="F96" s="99">
        <v>1.44</v>
      </c>
      <c r="G96" s="97" t="s">
        <v>453</v>
      </c>
      <c r="H96" s="97" t="s">
        <v>98</v>
      </c>
      <c r="I96" s="97" t="s">
        <v>453</v>
      </c>
      <c r="J96" s="193">
        <f t="shared" si="2"/>
        <v>128.9376</v>
      </c>
      <c r="K96" s="157">
        <f t="shared" si="4"/>
        <v>128.9376</v>
      </c>
      <c r="L96" s="160">
        <v>45292</v>
      </c>
      <c r="O96" s="75">
        <f>VLOOKUP(B96,'Tarifa 2025'!$B$3:$C$101,2,)</f>
        <v>85.888888888888886</v>
      </c>
      <c r="P96" s="75">
        <v>128.9376</v>
      </c>
      <c r="Q96" s="75">
        <v>128.9376</v>
      </c>
    </row>
    <row r="97" spans="1:17">
      <c r="A97" s="504"/>
      <c r="B97" s="95" t="s">
        <v>98</v>
      </c>
      <c r="C97" s="193">
        <f t="shared" si="3"/>
        <v>0</v>
      </c>
      <c r="D97" s="97"/>
      <c r="E97" s="97"/>
      <c r="F97" s="98"/>
      <c r="G97" s="97"/>
      <c r="H97" s="97"/>
      <c r="I97" s="97"/>
      <c r="J97" s="193">
        <f t="shared" si="2"/>
        <v>0</v>
      </c>
      <c r="K97" s="157">
        <f t="shared" si="4"/>
        <v>0</v>
      </c>
      <c r="L97" s="160">
        <v>45292</v>
      </c>
      <c r="O97" s="75">
        <f>VLOOKUP(B97,'Tarifa 2025'!$B$3:$C$101,2,)</f>
        <v>0</v>
      </c>
      <c r="P97" s="75">
        <v>0</v>
      </c>
      <c r="Q97" s="75">
        <v>0</v>
      </c>
    </row>
    <row r="98" spans="1:17" ht="16.5">
      <c r="A98" s="504"/>
      <c r="B98" s="155" t="s">
        <v>698</v>
      </c>
      <c r="C98" s="193">
        <f t="shared" si="3"/>
        <v>27.5</v>
      </c>
      <c r="D98" s="157">
        <v>1</v>
      </c>
      <c r="E98" s="157"/>
      <c r="F98" s="158">
        <v>7.5</v>
      </c>
      <c r="G98" s="157" t="s">
        <v>646</v>
      </c>
      <c r="H98" s="157" t="s">
        <v>98</v>
      </c>
      <c r="I98" s="157" t="s">
        <v>453</v>
      </c>
      <c r="J98" s="193">
        <f t="shared" si="2"/>
        <v>146.77000000000001</v>
      </c>
      <c r="K98" s="157">
        <f t="shared" si="4"/>
        <v>146.77000000000001</v>
      </c>
      <c r="L98" s="160">
        <v>45292</v>
      </c>
      <c r="O98" s="75">
        <f>VLOOKUP(B98,'Tarifa 2025'!$B$3:$C$101,2,)</f>
        <v>27.5</v>
      </c>
      <c r="P98" s="75">
        <v>146.77000000000001</v>
      </c>
      <c r="Q98" s="75">
        <v>146.77000000000001</v>
      </c>
    </row>
    <row r="99" spans="1:17" ht="16.5">
      <c r="A99" s="504"/>
      <c r="B99" s="155" t="s">
        <v>699</v>
      </c>
      <c r="C99" s="193">
        <f t="shared" si="3"/>
        <v>55.19</v>
      </c>
      <c r="D99" s="157">
        <v>1</v>
      </c>
      <c r="E99" s="157"/>
      <c r="F99" s="158">
        <v>4</v>
      </c>
      <c r="G99" s="157" t="s">
        <v>646</v>
      </c>
      <c r="H99" s="157" t="s">
        <v>98</v>
      </c>
      <c r="I99" s="157" t="s">
        <v>453</v>
      </c>
      <c r="J99" s="193">
        <f t="shared" si="2"/>
        <v>142.38</v>
      </c>
      <c r="K99" s="157">
        <f t="shared" si="4"/>
        <v>142.38</v>
      </c>
      <c r="L99" s="160">
        <v>45292</v>
      </c>
      <c r="O99" s="75">
        <f>VLOOKUP(B99,'Tarifa 2025'!$B$3:$C$101,2,)</f>
        <v>55.19</v>
      </c>
      <c r="P99" s="75">
        <v>142.38</v>
      </c>
      <c r="Q99" s="75">
        <v>142.38</v>
      </c>
    </row>
    <row r="100" spans="1:17" ht="16.5">
      <c r="A100" s="504"/>
      <c r="B100" s="155" t="s">
        <v>700</v>
      </c>
      <c r="C100" s="193">
        <f t="shared" si="3"/>
        <v>82.78</v>
      </c>
      <c r="D100" s="157">
        <v>1</v>
      </c>
      <c r="E100" s="157"/>
      <c r="F100" s="158">
        <v>2.5</v>
      </c>
      <c r="G100" s="157" t="s">
        <v>646</v>
      </c>
      <c r="H100" s="157" t="s">
        <v>98</v>
      </c>
      <c r="I100" s="157" t="s">
        <v>453</v>
      </c>
      <c r="J100" s="193">
        <f t="shared" si="2"/>
        <v>133.68</v>
      </c>
      <c r="K100" s="157">
        <f t="shared" si="4"/>
        <v>133.68</v>
      </c>
      <c r="L100" s="160">
        <v>45292</v>
      </c>
      <c r="O100" s="75">
        <f>VLOOKUP(B100,'Tarifa 2025'!$B$3:$C$101,2,)</f>
        <v>82.78</v>
      </c>
      <c r="P100" s="75">
        <v>133.68</v>
      </c>
      <c r="Q100" s="75">
        <v>133.68</v>
      </c>
    </row>
    <row r="101" spans="1:17" ht="16.5">
      <c r="A101" s="504"/>
      <c r="B101" s="155" t="s">
        <v>701</v>
      </c>
      <c r="C101" s="193">
        <f t="shared" si="3"/>
        <v>110.38</v>
      </c>
      <c r="D101" s="157">
        <v>1</v>
      </c>
      <c r="E101" s="157"/>
      <c r="F101" s="158">
        <v>2</v>
      </c>
      <c r="G101" s="157" t="s">
        <v>646</v>
      </c>
      <c r="H101" s="157" t="s">
        <v>98</v>
      </c>
      <c r="I101" s="157" t="s">
        <v>453</v>
      </c>
      <c r="J101" s="193">
        <f t="shared" si="2"/>
        <v>208.88</v>
      </c>
      <c r="K101" s="157">
        <f t="shared" si="4"/>
        <v>208.88</v>
      </c>
      <c r="L101" s="160">
        <v>45292</v>
      </c>
      <c r="O101" s="75">
        <f>VLOOKUP(B101,'Tarifa 2025'!$B$3:$C$101,2,)</f>
        <v>110.38</v>
      </c>
      <c r="P101" s="75">
        <v>208.88</v>
      </c>
      <c r="Q101" s="75">
        <v>208.88</v>
      </c>
    </row>
    <row r="102" spans="1:17" ht="16.5">
      <c r="A102" s="504"/>
      <c r="B102" s="155" t="s">
        <v>702</v>
      </c>
      <c r="C102" s="193">
        <f t="shared" si="3"/>
        <v>137.97</v>
      </c>
      <c r="D102" s="157">
        <v>1</v>
      </c>
      <c r="E102" s="157"/>
      <c r="F102" s="158">
        <v>1.5</v>
      </c>
      <c r="G102" s="157" t="s">
        <v>646</v>
      </c>
      <c r="H102" s="157" t="s">
        <v>98</v>
      </c>
      <c r="I102" s="157" t="s">
        <v>453</v>
      </c>
      <c r="J102" s="193">
        <f t="shared" si="2"/>
        <v>180.2</v>
      </c>
      <c r="K102" s="157">
        <f t="shared" si="4"/>
        <v>180.2</v>
      </c>
      <c r="L102" s="160">
        <v>45292</v>
      </c>
      <c r="O102" s="75">
        <f>VLOOKUP(B102,'Tarifa 2025'!$B$3:$C$101,2,)</f>
        <v>137.97</v>
      </c>
      <c r="P102" s="75">
        <v>180.2</v>
      </c>
      <c r="Q102" s="75">
        <v>180.2</v>
      </c>
    </row>
    <row r="103" spans="1:17" ht="16.5">
      <c r="A103" s="504"/>
      <c r="B103" s="155" t="s">
        <v>703</v>
      </c>
      <c r="C103" s="193">
        <f t="shared" si="3"/>
        <v>165.7</v>
      </c>
      <c r="D103" s="157">
        <v>1</v>
      </c>
      <c r="E103" s="157"/>
      <c r="F103" s="158">
        <v>1</v>
      </c>
      <c r="G103" s="157" t="s">
        <v>646</v>
      </c>
      <c r="H103" s="157" t="s">
        <v>98</v>
      </c>
      <c r="I103" s="157" t="s">
        <v>453</v>
      </c>
      <c r="J103" s="193">
        <f t="shared" si="2"/>
        <v>106.78</v>
      </c>
      <c r="K103" s="157">
        <f t="shared" si="4"/>
        <v>106.78</v>
      </c>
      <c r="L103" s="160">
        <v>45292</v>
      </c>
      <c r="O103" s="75">
        <f>VLOOKUP(B103,'Tarifa 2025'!$B$3:$C$101,2,)</f>
        <v>165.7</v>
      </c>
      <c r="P103" s="75">
        <v>106.78</v>
      </c>
      <c r="Q103" s="75">
        <v>106.78</v>
      </c>
    </row>
    <row r="104" spans="1:17">
      <c r="A104" s="504"/>
      <c r="B104" s="95" t="s">
        <v>98</v>
      </c>
      <c r="C104" s="193">
        <f t="shared" si="3"/>
        <v>0</v>
      </c>
      <c r="D104" s="97"/>
      <c r="E104" s="97"/>
      <c r="F104" s="98"/>
      <c r="G104" s="97"/>
      <c r="H104" s="97"/>
      <c r="I104" s="97"/>
      <c r="J104" s="193">
        <f t="shared" si="2"/>
        <v>0</v>
      </c>
      <c r="K104" s="157">
        <f t="shared" si="4"/>
        <v>0</v>
      </c>
      <c r="L104" s="160">
        <v>45292</v>
      </c>
      <c r="O104" s="75">
        <f>VLOOKUP(B104,'Tarifa 2025'!$B$3:$C$101,2,)</f>
        <v>0</v>
      </c>
      <c r="P104" s="75">
        <v>0</v>
      </c>
      <c r="Q104" s="75">
        <v>0</v>
      </c>
    </row>
    <row r="105" spans="1:17">
      <c r="A105" s="504"/>
      <c r="B105" s="155" t="s">
        <v>506</v>
      </c>
      <c r="C105" s="193" t="str">
        <f t="shared" si="3"/>
        <v>-</v>
      </c>
      <c r="D105" s="156">
        <f t="shared" ref="D105:D111" si="5">MID(B105,20,2)/10*1.6</f>
        <v>3.2</v>
      </c>
      <c r="E105" s="157"/>
      <c r="F105" s="158">
        <v>4.5999999999999996</v>
      </c>
      <c r="G105" s="159" t="s">
        <v>5</v>
      </c>
      <c r="H105" s="157">
        <v>220.8</v>
      </c>
      <c r="I105" s="157" t="s">
        <v>346</v>
      </c>
      <c r="J105" s="193">
        <f t="shared" si="2"/>
        <v>30.87</v>
      </c>
      <c r="K105" s="157">
        <f t="shared" si="4"/>
        <v>28.58</v>
      </c>
      <c r="L105" s="160">
        <v>45292</v>
      </c>
      <c r="O105" s="75" t="str">
        <f>VLOOKUP(B105,'Tarifa 2025'!$B$3:$C$101,2,)</f>
        <v>-</v>
      </c>
      <c r="P105" s="75">
        <v>30.87</v>
      </c>
      <c r="Q105" s="75">
        <v>28.58</v>
      </c>
    </row>
    <row r="106" spans="1:17">
      <c r="A106" s="504"/>
      <c r="B106" s="155" t="s">
        <v>507</v>
      </c>
      <c r="C106" s="193" t="str">
        <f t="shared" si="3"/>
        <v>-</v>
      </c>
      <c r="D106" s="156">
        <f t="shared" si="5"/>
        <v>4.8000000000000007</v>
      </c>
      <c r="E106" s="157"/>
      <c r="F106" s="158">
        <v>4.5999999999999996</v>
      </c>
      <c r="G106" s="159" t="s">
        <v>5</v>
      </c>
      <c r="H106" s="157">
        <v>220.8</v>
      </c>
      <c r="I106" s="157" t="s">
        <v>346</v>
      </c>
      <c r="J106" s="193">
        <f t="shared" si="2"/>
        <v>30.87</v>
      </c>
      <c r="K106" s="157">
        <f t="shared" si="4"/>
        <v>28.58</v>
      </c>
      <c r="L106" s="160">
        <v>45292</v>
      </c>
      <c r="O106" s="75" t="str">
        <f>VLOOKUP(B106,'Tarifa 2025'!$B$3:$C$101,2,)</f>
        <v>-</v>
      </c>
      <c r="P106" s="75">
        <v>30.87</v>
      </c>
      <c r="Q106" s="75">
        <v>28.58</v>
      </c>
    </row>
    <row r="107" spans="1:17">
      <c r="A107" s="504"/>
      <c r="B107" s="155" t="s">
        <v>508</v>
      </c>
      <c r="C107" s="193" t="str">
        <f t="shared" si="3"/>
        <v>-</v>
      </c>
      <c r="D107" s="156">
        <f t="shared" si="5"/>
        <v>6.4</v>
      </c>
      <c r="E107" s="157"/>
      <c r="F107" s="158">
        <v>4.5999999999999996</v>
      </c>
      <c r="G107" s="159" t="s">
        <v>5</v>
      </c>
      <c r="H107" s="157">
        <v>220.8</v>
      </c>
      <c r="I107" s="157" t="s">
        <v>346</v>
      </c>
      <c r="J107" s="193">
        <f t="shared" si="2"/>
        <v>30.87</v>
      </c>
      <c r="K107" s="157">
        <f t="shared" si="4"/>
        <v>28.58</v>
      </c>
      <c r="L107" s="160">
        <v>45292</v>
      </c>
      <c r="O107" s="75" t="str">
        <f>VLOOKUP(B107,'Tarifa 2025'!$B$3:$C$101,2,)</f>
        <v>-</v>
      </c>
      <c r="P107" s="75">
        <v>30.87</v>
      </c>
      <c r="Q107" s="75">
        <v>28.58</v>
      </c>
    </row>
    <row r="108" spans="1:17">
      <c r="A108" s="504"/>
      <c r="B108" s="155" t="s">
        <v>509</v>
      </c>
      <c r="C108" s="193" t="str">
        <f t="shared" si="3"/>
        <v>-</v>
      </c>
      <c r="D108" s="156">
        <f t="shared" si="5"/>
        <v>8</v>
      </c>
      <c r="E108" s="157"/>
      <c r="F108" s="158">
        <v>4.5999999999999996</v>
      </c>
      <c r="G108" s="159" t="s">
        <v>5</v>
      </c>
      <c r="H108" s="157">
        <v>220.8</v>
      </c>
      <c r="I108" s="157" t="s">
        <v>346</v>
      </c>
      <c r="J108" s="193">
        <f t="shared" si="2"/>
        <v>30.87</v>
      </c>
      <c r="K108" s="157">
        <f t="shared" si="4"/>
        <v>28.58</v>
      </c>
      <c r="L108" s="160">
        <v>45292</v>
      </c>
      <c r="O108" s="75" t="str">
        <f>VLOOKUP(B108,'Tarifa 2025'!$B$3:$C$101,2,)</f>
        <v>-</v>
      </c>
      <c r="P108" s="75">
        <v>30.87</v>
      </c>
      <c r="Q108" s="75">
        <v>28.58</v>
      </c>
    </row>
    <row r="109" spans="1:17">
      <c r="A109" s="504"/>
      <c r="B109" s="155" t="s">
        <v>510</v>
      </c>
      <c r="C109" s="193" t="str">
        <f t="shared" si="3"/>
        <v>-</v>
      </c>
      <c r="D109" s="156">
        <f t="shared" si="5"/>
        <v>9.6000000000000014</v>
      </c>
      <c r="E109" s="157"/>
      <c r="F109" s="158">
        <v>4.5999999999999996</v>
      </c>
      <c r="G109" s="159" t="s">
        <v>5</v>
      </c>
      <c r="H109" s="157">
        <v>220.8</v>
      </c>
      <c r="I109" s="157" t="s">
        <v>346</v>
      </c>
      <c r="J109" s="193">
        <f t="shared" si="2"/>
        <v>30.87</v>
      </c>
      <c r="K109" s="157">
        <f t="shared" si="4"/>
        <v>28.58</v>
      </c>
      <c r="L109" s="160">
        <v>45292</v>
      </c>
      <c r="O109" s="75" t="str">
        <f>VLOOKUP(B109,'Tarifa 2025'!$B$3:$C$101,2,)</f>
        <v>-</v>
      </c>
      <c r="P109" s="75">
        <v>30.87</v>
      </c>
      <c r="Q109" s="75">
        <v>28.58</v>
      </c>
    </row>
    <row r="110" spans="1:17">
      <c r="A110" s="504"/>
      <c r="B110" s="155" t="s">
        <v>511</v>
      </c>
      <c r="C110" s="193" t="str">
        <f t="shared" si="3"/>
        <v>-</v>
      </c>
      <c r="D110" s="156">
        <f t="shared" si="5"/>
        <v>11.200000000000001</v>
      </c>
      <c r="E110" s="157"/>
      <c r="F110" s="158">
        <v>4.5999999999999996</v>
      </c>
      <c r="G110" s="159" t="s">
        <v>5</v>
      </c>
      <c r="H110" s="157">
        <v>220.8</v>
      </c>
      <c r="I110" s="157" t="s">
        <v>346</v>
      </c>
      <c r="J110" s="193">
        <f t="shared" si="2"/>
        <v>30.87</v>
      </c>
      <c r="K110" s="157">
        <f t="shared" si="4"/>
        <v>28.58</v>
      </c>
      <c r="L110" s="160">
        <v>45292</v>
      </c>
      <c r="O110" s="75" t="str">
        <f>VLOOKUP(B110,'Tarifa 2025'!$B$3:$C$101,2,)</f>
        <v>-</v>
      </c>
      <c r="P110" s="75">
        <v>30.87</v>
      </c>
      <c r="Q110" s="75">
        <v>28.58</v>
      </c>
    </row>
    <row r="111" spans="1:17">
      <c r="A111" s="504"/>
      <c r="B111" s="155" t="s">
        <v>512</v>
      </c>
      <c r="C111" s="193" t="str">
        <f t="shared" si="3"/>
        <v>-</v>
      </c>
      <c r="D111" s="156">
        <f t="shared" si="5"/>
        <v>12.8</v>
      </c>
      <c r="E111" s="157"/>
      <c r="F111" s="158">
        <v>4.5999999999999996</v>
      </c>
      <c r="G111" s="159" t="s">
        <v>5</v>
      </c>
      <c r="H111" s="157">
        <v>220.8</v>
      </c>
      <c r="I111" s="157" t="s">
        <v>346</v>
      </c>
      <c r="J111" s="193">
        <f t="shared" si="2"/>
        <v>30.87</v>
      </c>
      <c r="K111" s="157">
        <f t="shared" si="4"/>
        <v>28.58</v>
      </c>
      <c r="L111" s="160">
        <v>45292</v>
      </c>
      <c r="O111" s="75" t="str">
        <f>VLOOKUP(B111,'Tarifa 2025'!$B$3:$C$101,2,)</f>
        <v>-</v>
      </c>
      <c r="P111" s="75">
        <v>30.87</v>
      </c>
      <c r="Q111" s="75">
        <v>28.58</v>
      </c>
    </row>
    <row r="112" spans="1:17" ht="16.5">
      <c r="A112" s="508" t="s">
        <v>382</v>
      </c>
      <c r="B112" s="146" t="s">
        <v>87</v>
      </c>
      <c r="C112" s="193" t="str">
        <f t="shared" si="3"/>
        <v>-</v>
      </c>
      <c r="D112" s="147">
        <v>1</v>
      </c>
      <c r="E112" s="147"/>
      <c r="F112" s="148">
        <v>14.4</v>
      </c>
      <c r="G112" s="147" t="s">
        <v>466</v>
      </c>
      <c r="H112" s="147" t="s">
        <v>98</v>
      </c>
      <c r="I112" s="147" t="s">
        <v>466</v>
      </c>
      <c r="J112" s="193">
        <f t="shared" si="2"/>
        <v>180.34</v>
      </c>
      <c r="K112" s="157">
        <f t="shared" si="4"/>
        <v>180.34</v>
      </c>
      <c r="L112" s="160">
        <v>45292</v>
      </c>
      <c r="O112" s="75" t="str">
        <f>VLOOKUP(B112,'Tarifa 2025'!$B$3:$C$101,2,)</f>
        <v>-</v>
      </c>
      <c r="P112" s="75">
        <v>180.34</v>
      </c>
      <c r="Q112" s="75">
        <v>180.34</v>
      </c>
    </row>
    <row r="113" spans="1:17" ht="16.5">
      <c r="A113" s="508"/>
      <c r="B113" s="146" t="s">
        <v>88</v>
      </c>
      <c r="C113" s="193" t="e">
        <f t="shared" si="3"/>
        <v>#N/A</v>
      </c>
      <c r="D113" s="147">
        <v>1</v>
      </c>
      <c r="E113" s="147"/>
      <c r="F113" s="148">
        <v>9.36</v>
      </c>
      <c r="G113" s="147" t="s">
        <v>466</v>
      </c>
      <c r="H113" s="147" t="s">
        <v>98</v>
      </c>
      <c r="I113" s="147" t="s">
        <v>466</v>
      </c>
      <c r="J113" s="193" t="e">
        <f t="shared" si="2"/>
        <v>#N/A</v>
      </c>
      <c r="K113" s="157" t="e">
        <f t="shared" si="4"/>
        <v>#N/A</v>
      </c>
      <c r="L113" s="160">
        <v>45292</v>
      </c>
      <c r="O113" s="75" t="e">
        <f>VLOOKUP(B113,'Tarifa 2025'!$B$3:$C$101,2,)</f>
        <v>#N/A</v>
      </c>
      <c r="P113" s="75" t="e">
        <v>#N/A</v>
      </c>
      <c r="Q113" s="75" t="e">
        <v>#N/A</v>
      </c>
    </row>
    <row r="114" spans="1:17">
      <c r="A114" s="508"/>
      <c r="B114" s="95" t="s">
        <v>98</v>
      </c>
      <c r="C114" s="193">
        <f t="shared" si="3"/>
        <v>0</v>
      </c>
      <c r="D114" s="97" t="s">
        <v>98</v>
      </c>
      <c r="E114" s="97"/>
      <c r="F114" s="98" t="s">
        <v>98</v>
      </c>
      <c r="G114" s="98" t="s">
        <v>98</v>
      </c>
      <c r="H114" s="97" t="s">
        <v>98</v>
      </c>
      <c r="I114" s="97" t="s">
        <v>98</v>
      </c>
      <c r="J114" s="97" t="s">
        <v>98</v>
      </c>
      <c r="K114" s="157">
        <f t="shared" si="4"/>
        <v>0</v>
      </c>
      <c r="L114" s="160">
        <v>45292</v>
      </c>
      <c r="O114" s="75">
        <v>0</v>
      </c>
      <c r="P114" s="75">
        <v>0</v>
      </c>
      <c r="Q114" s="75">
        <v>0</v>
      </c>
    </row>
    <row r="115" spans="1:17" s="76" customFormat="1" ht="43.5">
      <c r="A115" s="72"/>
      <c r="B115" s="73"/>
      <c r="C115" s="193" t="e">
        <f t="shared" si="3"/>
        <v>#N/A</v>
      </c>
      <c r="D115" s="74" t="s">
        <v>428</v>
      </c>
      <c r="E115" s="74" t="s">
        <v>429</v>
      </c>
      <c r="F115" s="74" t="s">
        <v>294</v>
      </c>
      <c r="G115" s="73" t="s">
        <v>166</v>
      </c>
      <c r="H115" s="74" t="s">
        <v>348</v>
      </c>
      <c r="I115" s="74" t="s">
        <v>345</v>
      </c>
      <c r="J115" s="74" t="s">
        <v>360</v>
      </c>
      <c r="K115" s="74" t="s">
        <v>293</v>
      </c>
      <c r="L115" s="160">
        <v>45292</v>
      </c>
      <c r="O115" s="75" t="e">
        <v>#N/A</v>
      </c>
      <c r="P115" s="75" t="e">
        <v>#N/A</v>
      </c>
      <c r="Q115" s="75" t="e">
        <v>#N/A</v>
      </c>
    </row>
    <row r="116" spans="1:17" s="76" customFormat="1">
      <c r="A116" s="72"/>
      <c r="B116" s="73" t="s">
        <v>98</v>
      </c>
      <c r="C116" s="193">
        <f t="shared" si="3"/>
        <v>0</v>
      </c>
      <c r="D116" s="74"/>
      <c r="E116" s="74"/>
      <c r="F116" s="74"/>
      <c r="G116" s="73"/>
      <c r="H116" s="74"/>
      <c r="I116" s="74"/>
      <c r="J116" s="74"/>
      <c r="K116" s="74"/>
      <c r="L116" s="160">
        <v>45292</v>
      </c>
      <c r="O116" s="75">
        <v>0</v>
      </c>
      <c r="P116" s="75">
        <v>0</v>
      </c>
      <c r="Q116" s="75">
        <v>0</v>
      </c>
    </row>
    <row r="117" spans="1:17">
      <c r="A117" s="501" t="s">
        <v>154</v>
      </c>
      <c r="B117" s="161" t="s">
        <v>513</v>
      </c>
      <c r="C117" s="193">
        <f>VLOOKUP(B117,'Tarifa 2025'!$B$103:$C$377,2,)</f>
        <v>1.1192</v>
      </c>
      <c r="D117" s="163">
        <v>5</v>
      </c>
      <c r="E117" s="163">
        <v>5</v>
      </c>
      <c r="F117" s="164">
        <v>25</v>
      </c>
      <c r="G117" s="163" t="s">
        <v>5</v>
      </c>
      <c r="H117" s="163">
        <v>1200</v>
      </c>
      <c r="I117" s="163" t="s">
        <v>346</v>
      </c>
      <c r="J117" s="423">
        <v>30.22</v>
      </c>
      <c r="K117" s="423">
        <v>27.98</v>
      </c>
      <c r="L117" s="160">
        <v>45292</v>
      </c>
      <c r="M117" s="143"/>
      <c r="O117" s="75">
        <v>1.0908</v>
      </c>
      <c r="P117" s="75">
        <f>VLOOKUP(B117,'Tarifa 2025'!B103:C377,2,)</f>
        <v>1.1192</v>
      </c>
      <c r="Q117" s="75">
        <v>27.27</v>
      </c>
    </row>
    <row r="118" spans="1:17">
      <c r="A118" s="501"/>
      <c r="B118" s="161" t="s">
        <v>514</v>
      </c>
      <c r="C118" s="193">
        <f>VLOOKUP(B118,'Tarifa 2025'!$B$103:$C$377,2,)</f>
        <v>1.2076</v>
      </c>
      <c r="D118" s="163">
        <v>5</v>
      </c>
      <c r="E118" s="163">
        <v>5</v>
      </c>
      <c r="F118" s="164">
        <v>25</v>
      </c>
      <c r="G118" s="163" t="s">
        <v>5</v>
      </c>
      <c r="H118" s="163">
        <v>1200</v>
      </c>
      <c r="I118" s="163" t="s">
        <v>346</v>
      </c>
      <c r="J118" s="423">
        <v>32.6</v>
      </c>
      <c r="K118" s="423">
        <v>30.19</v>
      </c>
      <c r="L118" s="160">
        <v>45292</v>
      </c>
      <c r="M118" s="143"/>
      <c r="O118" s="75">
        <v>1.1768000000000001</v>
      </c>
      <c r="P118" s="75">
        <v>31.78</v>
      </c>
      <c r="Q118" s="75">
        <v>29.42</v>
      </c>
    </row>
    <row r="119" spans="1:17">
      <c r="A119" s="502" t="s">
        <v>9</v>
      </c>
      <c r="B119" s="103" t="s">
        <v>98</v>
      </c>
      <c r="C119" s="193">
        <f>VLOOKUP(B119,'Tarifa 2025'!$B$103:$C$377,2,)</f>
        <v>0</v>
      </c>
      <c r="D119" s="101"/>
      <c r="E119" s="101"/>
      <c r="F119" s="102"/>
      <c r="G119" s="101"/>
      <c r="H119" s="101"/>
      <c r="I119" s="101"/>
      <c r="J119" s="423"/>
      <c r="K119" s="423"/>
      <c r="L119" s="160">
        <v>45292</v>
      </c>
      <c r="M119" s="132"/>
      <c r="O119" s="75">
        <v>0</v>
      </c>
      <c r="P119" s="75">
        <v>0</v>
      </c>
      <c r="Q119" s="75">
        <v>0</v>
      </c>
    </row>
    <row r="120" spans="1:17">
      <c r="A120" s="502"/>
      <c r="B120" s="184" t="s">
        <v>533</v>
      </c>
      <c r="C120" s="193">
        <f>VLOOKUP(B120,'Tarifa 2025'!$B$103:$C$377,2,)</f>
        <v>1.1192</v>
      </c>
      <c r="D120" s="186" t="s">
        <v>98</v>
      </c>
      <c r="E120" s="186">
        <v>12</v>
      </c>
      <c r="F120" s="187">
        <v>25</v>
      </c>
      <c r="G120" s="186" t="s">
        <v>5</v>
      </c>
      <c r="H120" s="186">
        <v>1200</v>
      </c>
      <c r="I120" s="186" t="s">
        <v>346</v>
      </c>
      <c r="J120" s="428">
        <v>30.22</v>
      </c>
      <c r="K120" s="428">
        <v>27.98</v>
      </c>
      <c r="L120" s="160">
        <v>45292</v>
      </c>
      <c r="M120" s="143"/>
      <c r="O120" s="75">
        <v>1.0908</v>
      </c>
      <c r="P120" s="75">
        <v>29.45</v>
      </c>
      <c r="Q120" s="75">
        <v>27.27</v>
      </c>
    </row>
    <row r="121" spans="1:17">
      <c r="A121" s="502"/>
      <c r="B121" s="184" t="s">
        <v>534</v>
      </c>
      <c r="C121" s="193">
        <f>VLOOKUP(B121,'Tarifa 2025'!$B$103:$C$377,2,)</f>
        <v>1.2076</v>
      </c>
      <c r="D121" s="186" t="s">
        <v>98</v>
      </c>
      <c r="E121" s="186">
        <v>12</v>
      </c>
      <c r="F121" s="187">
        <v>25</v>
      </c>
      <c r="G121" s="186" t="s">
        <v>5</v>
      </c>
      <c r="H121" s="186">
        <v>1200</v>
      </c>
      <c r="I121" s="186" t="s">
        <v>346</v>
      </c>
      <c r="J121" s="428">
        <v>32.6</v>
      </c>
      <c r="K121" s="428">
        <v>30.19</v>
      </c>
      <c r="L121" s="160">
        <v>45292</v>
      </c>
      <c r="M121" s="143"/>
      <c r="O121" s="75">
        <v>1.1768000000000001</v>
      </c>
      <c r="P121" s="75">
        <v>31.78</v>
      </c>
      <c r="Q121" s="75">
        <v>29.42</v>
      </c>
    </row>
    <row r="122" spans="1:17">
      <c r="A122" s="502"/>
      <c r="B122" s="184" t="s">
        <v>535</v>
      </c>
      <c r="C122" s="193">
        <f>VLOOKUP(B122,'Tarifa 2025'!$B$103:$C$377,2,)</f>
        <v>2.0760000000000001</v>
      </c>
      <c r="D122" s="186" t="s">
        <v>98</v>
      </c>
      <c r="E122" s="186">
        <v>10</v>
      </c>
      <c r="F122" s="187">
        <v>25</v>
      </c>
      <c r="G122" s="186" t="s">
        <v>5</v>
      </c>
      <c r="H122" s="186">
        <v>1200</v>
      </c>
      <c r="I122" s="186" t="s">
        <v>346</v>
      </c>
      <c r="J122" s="428">
        <v>56.05</v>
      </c>
      <c r="K122" s="428">
        <v>51.9</v>
      </c>
      <c r="L122" s="160">
        <v>45292</v>
      </c>
      <c r="M122" s="143"/>
      <c r="O122" s="75">
        <v>2.0232000000000001</v>
      </c>
      <c r="P122" s="75">
        <v>54.63</v>
      </c>
      <c r="Q122" s="75">
        <v>50.58</v>
      </c>
    </row>
    <row r="123" spans="1:17">
      <c r="A123" s="502"/>
      <c r="B123" s="184" t="s">
        <v>536</v>
      </c>
      <c r="C123" s="193">
        <f>VLOOKUP(B123,'Tarifa 2025'!$B$103:$C$377,2,)</f>
        <v>5.9248000000000003</v>
      </c>
      <c r="D123" s="186" t="s">
        <v>98</v>
      </c>
      <c r="E123" s="186">
        <v>10</v>
      </c>
      <c r="F123" s="187">
        <v>25</v>
      </c>
      <c r="G123" s="186" t="s">
        <v>5</v>
      </c>
      <c r="H123" s="186">
        <v>600</v>
      </c>
      <c r="I123" s="186" t="s">
        <v>346</v>
      </c>
      <c r="J123" s="428">
        <v>159.97</v>
      </c>
      <c r="K123" s="428">
        <v>148.12</v>
      </c>
      <c r="L123" s="160">
        <v>45292</v>
      </c>
      <c r="M123" s="143"/>
      <c r="O123" s="75">
        <v>5.7747999999999999</v>
      </c>
      <c r="P123" s="75">
        <v>155.91999999999999</v>
      </c>
      <c r="Q123" s="75">
        <v>144.37</v>
      </c>
    </row>
    <row r="124" spans="1:17">
      <c r="A124" s="77"/>
      <c r="B124" s="104"/>
      <c r="C124" s="193" t="e">
        <f>VLOOKUP(B124,'Tarifa 2025'!$B$103:$C$377,2,)</f>
        <v>#N/A</v>
      </c>
      <c r="D124" s="78"/>
      <c r="E124" s="78"/>
      <c r="F124" s="87"/>
      <c r="G124" s="78"/>
      <c r="L124" s="160">
        <v>45292</v>
      </c>
      <c r="O124" s="75" t="e">
        <v>#N/A</v>
      </c>
      <c r="P124" s="75" t="e">
        <v>#N/A</v>
      </c>
      <c r="Q124" s="75" t="e">
        <v>#N/A</v>
      </c>
    </row>
    <row r="125" spans="1:17">
      <c r="A125" s="505" t="s">
        <v>291</v>
      </c>
      <c r="B125" s="188" t="s">
        <v>611</v>
      </c>
      <c r="C125" s="193">
        <f>VLOOKUP(B125,'Tarifa 2025'!$B$103:$C$377,2,)</f>
        <v>0.66439999999999999</v>
      </c>
      <c r="D125" s="190">
        <v>6</v>
      </c>
      <c r="E125" s="190">
        <v>5.5</v>
      </c>
      <c r="F125" s="191">
        <v>100</v>
      </c>
      <c r="G125" s="190" t="s">
        <v>8</v>
      </c>
      <c r="H125" s="190" t="s">
        <v>98</v>
      </c>
      <c r="I125" s="190" t="s">
        <v>351</v>
      </c>
      <c r="J125" s="55">
        <v>66.44</v>
      </c>
      <c r="K125" s="55">
        <v>66.44</v>
      </c>
      <c r="L125" s="160">
        <v>45292</v>
      </c>
      <c r="O125" s="75">
        <v>0.64749999999999996</v>
      </c>
      <c r="P125" s="75">
        <v>64.75</v>
      </c>
      <c r="Q125" s="75">
        <v>64.75</v>
      </c>
    </row>
    <row r="126" spans="1:17">
      <c r="A126" s="505"/>
      <c r="B126" s="188" t="s">
        <v>612</v>
      </c>
      <c r="C126" s="193">
        <f>VLOOKUP(B126,'Tarifa 2025'!$B$103:$C$377,2,)</f>
        <v>0.70609999999999995</v>
      </c>
      <c r="D126" s="190">
        <v>6</v>
      </c>
      <c r="E126" s="190">
        <v>5.5</v>
      </c>
      <c r="F126" s="191">
        <v>100</v>
      </c>
      <c r="G126" s="190" t="s">
        <v>8</v>
      </c>
      <c r="H126" s="190" t="s">
        <v>98</v>
      </c>
      <c r="I126" s="190" t="s">
        <v>351</v>
      </c>
      <c r="J126" s="55">
        <v>70.61</v>
      </c>
      <c r="K126" s="55">
        <v>70.61</v>
      </c>
      <c r="L126" s="160">
        <v>45292</v>
      </c>
      <c r="O126" s="75">
        <v>0.68720000000000003</v>
      </c>
      <c r="P126" s="75">
        <v>68.72</v>
      </c>
      <c r="Q126" s="75">
        <v>68.72</v>
      </c>
    </row>
    <row r="127" spans="1:17">
      <c r="A127" s="505"/>
      <c r="B127" s="188" t="s">
        <v>613</v>
      </c>
      <c r="C127" s="193">
        <f>VLOOKUP(B127,'Tarifa 2025'!$B$103:$C$377,2,)</f>
        <v>0.72230000000000005</v>
      </c>
      <c r="D127" s="190">
        <v>6</v>
      </c>
      <c r="E127" s="190">
        <v>5.5</v>
      </c>
      <c r="F127" s="191">
        <v>100</v>
      </c>
      <c r="G127" s="190" t="s">
        <v>8</v>
      </c>
      <c r="H127" s="190" t="s">
        <v>98</v>
      </c>
      <c r="I127" s="190" t="s">
        <v>351</v>
      </c>
      <c r="J127" s="78">
        <v>72.23</v>
      </c>
      <c r="K127" s="78">
        <v>72.23</v>
      </c>
      <c r="L127" s="160">
        <v>45292</v>
      </c>
      <c r="O127" s="75">
        <v>0.70489999999999997</v>
      </c>
      <c r="P127" s="75">
        <v>70.489999999999995</v>
      </c>
      <c r="Q127" s="75">
        <v>70.489999999999995</v>
      </c>
    </row>
    <row r="128" spans="1:17">
      <c r="A128" s="505"/>
      <c r="B128" s="188" t="s">
        <v>614</v>
      </c>
      <c r="C128" s="193">
        <f>VLOOKUP(B128,'Tarifa 2025'!$B$103:$C$377,2,)</f>
        <v>0.77410000000000001</v>
      </c>
      <c r="D128" s="190">
        <v>6</v>
      </c>
      <c r="E128" s="190">
        <v>5.5</v>
      </c>
      <c r="F128" s="191">
        <v>100</v>
      </c>
      <c r="G128" s="190" t="s">
        <v>8</v>
      </c>
      <c r="H128" s="190" t="s">
        <v>98</v>
      </c>
      <c r="I128" s="190" t="s">
        <v>351</v>
      </c>
      <c r="J128" s="429">
        <v>77.41</v>
      </c>
      <c r="K128" s="429">
        <v>77.41</v>
      </c>
      <c r="L128" s="160">
        <v>45292</v>
      </c>
      <c r="O128" s="75">
        <v>0.75549999999999995</v>
      </c>
      <c r="P128" s="75">
        <v>75.55</v>
      </c>
      <c r="Q128" s="75">
        <v>75.55</v>
      </c>
    </row>
    <row r="129" spans="1:17">
      <c r="A129" s="505"/>
      <c r="B129" s="188" t="s">
        <v>615</v>
      </c>
      <c r="C129" s="193">
        <f>VLOOKUP(B129,'Tarifa 2025'!$B$103:$C$377,2,)</f>
        <v>0.86870000000000003</v>
      </c>
      <c r="D129" s="190">
        <v>6</v>
      </c>
      <c r="E129" s="190">
        <v>5.5</v>
      </c>
      <c r="F129" s="191">
        <v>100</v>
      </c>
      <c r="G129" s="190" t="s">
        <v>8</v>
      </c>
      <c r="H129" s="190" t="s">
        <v>98</v>
      </c>
      <c r="I129" s="190" t="s">
        <v>351</v>
      </c>
      <c r="J129" s="429">
        <v>86.87</v>
      </c>
      <c r="K129" s="429">
        <v>86.87</v>
      </c>
      <c r="L129" s="160">
        <v>45292</v>
      </c>
      <c r="O129" s="75">
        <v>0.84670000000000001</v>
      </c>
      <c r="P129" s="75">
        <v>84.67</v>
      </c>
      <c r="Q129" s="75">
        <v>84.67</v>
      </c>
    </row>
    <row r="130" spans="1:17">
      <c r="A130" s="505"/>
      <c r="B130" s="188" t="s">
        <v>616</v>
      </c>
      <c r="C130" s="193">
        <f>VLOOKUP(B130,'Tarifa 2025'!$B$103:$C$377,2,)</f>
        <v>1.0168000000000001</v>
      </c>
      <c r="D130" s="190">
        <v>6</v>
      </c>
      <c r="E130" s="190">
        <v>5.5</v>
      </c>
      <c r="F130" s="191">
        <v>100</v>
      </c>
      <c r="G130" s="190" t="s">
        <v>8</v>
      </c>
      <c r="H130" s="190" t="s">
        <v>98</v>
      </c>
      <c r="I130" s="190" t="s">
        <v>351</v>
      </c>
      <c r="J130" s="429">
        <v>101.68</v>
      </c>
      <c r="K130" s="429">
        <v>101.68</v>
      </c>
      <c r="L130" s="160">
        <v>45292</v>
      </c>
      <c r="O130" s="75">
        <v>0.98790000000000011</v>
      </c>
      <c r="P130" s="75">
        <v>98.79</v>
      </c>
      <c r="Q130" s="75">
        <v>98.79</v>
      </c>
    </row>
    <row r="131" spans="1:17">
      <c r="A131" s="505"/>
      <c r="B131" s="188" t="s">
        <v>617</v>
      </c>
      <c r="C131" s="193">
        <f>VLOOKUP(B131,'Tarifa 2025'!$B$103:$C$377,2,)</f>
        <v>1.1871</v>
      </c>
      <c r="D131" s="190">
        <v>6</v>
      </c>
      <c r="E131" s="190">
        <v>5.5</v>
      </c>
      <c r="F131" s="191">
        <v>100</v>
      </c>
      <c r="G131" s="190" t="s">
        <v>8</v>
      </c>
      <c r="H131" s="190" t="s">
        <v>98</v>
      </c>
      <c r="I131" s="190" t="s">
        <v>351</v>
      </c>
      <c r="J131" s="429">
        <v>118.71</v>
      </c>
      <c r="K131" s="429">
        <v>118.71</v>
      </c>
      <c r="L131" s="160">
        <v>45292</v>
      </c>
      <c r="O131" s="75">
        <v>1.1573</v>
      </c>
      <c r="P131" s="75">
        <v>115.73</v>
      </c>
      <c r="Q131" s="75">
        <v>115.73</v>
      </c>
    </row>
    <row r="132" spans="1:17">
      <c r="A132" s="505"/>
      <c r="B132" s="188" t="s">
        <v>618</v>
      </c>
      <c r="C132" s="193">
        <f>VLOOKUP(B132,'Tarifa 2025'!$B$103:$C$377,2,)</f>
        <v>1.3374999999999999</v>
      </c>
      <c r="D132" s="190">
        <v>6</v>
      </c>
      <c r="E132" s="190">
        <v>5.5</v>
      </c>
      <c r="F132" s="191">
        <v>100</v>
      </c>
      <c r="G132" s="190" t="s">
        <v>8</v>
      </c>
      <c r="H132" s="190" t="s">
        <v>98</v>
      </c>
      <c r="I132" s="190" t="s">
        <v>351</v>
      </c>
      <c r="J132" s="429">
        <v>133.75</v>
      </c>
      <c r="K132" s="429">
        <v>133.75</v>
      </c>
      <c r="L132" s="160">
        <v>45292</v>
      </c>
      <c r="O132" s="75">
        <v>1.3019999999999998</v>
      </c>
      <c r="P132" s="75">
        <v>130.19999999999999</v>
      </c>
      <c r="Q132" s="75">
        <v>130.19999999999999</v>
      </c>
    </row>
    <row r="133" spans="1:17">
      <c r="A133" s="505"/>
      <c r="B133" s="188" t="s">
        <v>619</v>
      </c>
      <c r="C133" s="193">
        <f>VLOOKUP(B133,'Tarifa 2025'!$B$103:$C$377,2,)</f>
        <v>1.9687000000000001</v>
      </c>
      <c r="D133" s="190">
        <v>6</v>
      </c>
      <c r="E133" s="190">
        <v>5.5</v>
      </c>
      <c r="F133" s="191">
        <v>100</v>
      </c>
      <c r="G133" s="190" t="s">
        <v>8</v>
      </c>
      <c r="H133" s="190" t="s">
        <v>98</v>
      </c>
      <c r="I133" s="190" t="s">
        <v>351</v>
      </c>
      <c r="J133" s="429">
        <v>196.87</v>
      </c>
      <c r="K133" s="429">
        <v>196.87</v>
      </c>
      <c r="L133" s="160">
        <v>45292</v>
      </c>
      <c r="O133" s="75">
        <v>1.9171</v>
      </c>
      <c r="P133" s="75">
        <v>191.71</v>
      </c>
      <c r="Q133" s="75">
        <v>191.71</v>
      </c>
    </row>
    <row r="134" spans="1:17">
      <c r="A134" s="505"/>
      <c r="B134" s="188" t="s">
        <v>620</v>
      </c>
      <c r="C134" s="193">
        <f>VLOOKUP(B134,'Tarifa 2025'!$B$103:$C$377,2,)</f>
        <v>2.1962000000000002</v>
      </c>
      <c r="D134" s="190">
        <v>6</v>
      </c>
      <c r="E134" s="190">
        <v>5.5</v>
      </c>
      <c r="F134" s="191">
        <v>100</v>
      </c>
      <c r="G134" s="190" t="s">
        <v>8</v>
      </c>
      <c r="H134" s="190" t="s">
        <v>98</v>
      </c>
      <c r="I134" s="190" t="s">
        <v>351</v>
      </c>
      <c r="J134" s="429">
        <v>219.62</v>
      </c>
      <c r="K134" s="429">
        <v>219.62</v>
      </c>
      <c r="L134" s="160">
        <v>45292</v>
      </c>
      <c r="O134" s="75">
        <v>2.141</v>
      </c>
      <c r="P134" s="75">
        <v>214.1</v>
      </c>
      <c r="Q134" s="75">
        <v>214.1</v>
      </c>
    </row>
    <row r="135" spans="1:17">
      <c r="A135" s="505"/>
      <c r="B135" s="188" t="s">
        <v>621</v>
      </c>
      <c r="C135" s="193">
        <f>VLOOKUP(B135,'Tarifa 2025'!$B$103:$C$377,2,)</f>
        <v>2.4462000000000002</v>
      </c>
      <c r="D135" s="190">
        <v>6</v>
      </c>
      <c r="E135" s="190">
        <v>5.5</v>
      </c>
      <c r="F135" s="191">
        <v>100</v>
      </c>
      <c r="G135" s="190" t="s">
        <v>8</v>
      </c>
      <c r="H135" s="190" t="s">
        <v>98</v>
      </c>
      <c r="I135" s="190" t="s">
        <v>351</v>
      </c>
      <c r="J135" s="429">
        <v>244.62</v>
      </c>
      <c r="K135" s="429">
        <v>244.62</v>
      </c>
      <c r="L135" s="160">
        <v>45292</v>
      </c>
      <c r="O135" s="75">
        <v>2.3868</v>
      </c>
      <c r="P135" s="75">
        <v>238.68</v>
      </c>
      <c r="Q135" s="75">
        <v>238.68</v>
      </c>
    </row>
    <row r="136" spans="1:17">
      <c r="A136" s="505"/>
      <c r="B136" s="108" t="s">
        <v>98</v>
      </c>
      <c r="C136" s="193">
        <f>VLOOKUP(B136,'Tarifa 2025'!$B$103:$C$377,2,)</f>
        <v>0</v>
      </c>
      <c r="D136" s="69"/>
      <c r="E136" s="69"/>
      <c r="F136" s="90"/>
      <c r="G136" s="69"/>
      <c r="H136" s="69"/>
      <c r="I136" s="69"/>
      <c r="J136" s="429"/>
      <c r="K136" s="429"/>
      <c r="L136" s="160">
        <v>45292</v>
      </c>
      <c r="O136" s="75">
        <v>0</v>
      </c>
      <c r="P136" s="75">
        <v>0</v>
      </c>
      <c r="Q136" s="75">
        <v>0</v>
      </c>
    </row>
    <row r="137" spans="1:17">
      <c r="A137" s="505"/>
      <c r="B137" s="188" t="s">
        <v>622</v>
      </c>
      <c r="C137" s="193">
        <f>VLOOKUP(B137,'Tarifa 2025'!$B$103:$C$377,2,)</f>
        <v>0.96970000000000001</v>
      </c>
      <c r="D137" s="190">
        <v>6</v>
      </c>
      <c r="E137" s="190">
        <v>5.5</v>
      </c>
      <c r="F137" s="191">
        <v>100</v>
      </c>
      <c r="G137" s="190" t="s">
        <v>8</v>
      </c>
      <c r="H137" s="190" t="s">
        <v>98</v>
      </c>
      <c r="I137" s="190" t="s">
        <v>351</v>
      </c>
      <c r="J137" s="429">
        <v>96.97</v>
      </c>
      <c r="K137" s="429">
        <v>96.97</v>
      </c>
      <c r="L137" s="160">
        <v>45292</v>
      </c>
      <c r="O137" s="75">
        <v>0.94489999999999996</v>
      </c>
      <c r="P137" s="75">
        <v>94.49</v>
      </c>
      <c r="Q137" s="75">
        <v>94.49</v>
      </c>
    </row>
    <row r="138" spans="1:17">
      <c r="A138" s="505"/>
      <c r="B138" s="188" t="s">
        <v>623</v>
      </c>
      <c r="C138" s="193">
        <f>VLOOKUP(B138,'Tarifa 2025'!$B$103:$C$377,2,)</f>
        <v>1.1198999999999999</v>
      </c>
      <c r="D138" s="190">
        <v>6</v>
      </c>
      <c r="E138" s="190">
        <v>5.5</v>
      </c>
      <c r="F138" s="191">
        <v>100</v>
      </c>
      <c r="G138" s="190" t="s">
        <v>8</v>
      </c>
      <c r="H138" s="190" t="s">
        <v>98</v>
      </c>
      <c r="I138" s="190" t="s">
        <v>351</v>
      </c>
      <c r="J138" s="429">
        <v>111.99</v>
      </c>
      <c r="K138" s="429">
        <v>111.99</v>
      </c>
      <c r="L138" s="160">
        <v>45292</v>
      </c>
      <c r="O138" s="75">
        <v>1.0849</v>
      </c>
      <c r="P138" s="75">
        <v>108.49</v>
      </c>
      <c r="Q138" s="75">
        <v>108.49</v>
      </c>
    </row>
    <row r="139" spans="1:17">
      <c r="A139" s="505"/>
      <c r="B139" s="188" t="s">
        <v>624</v>
      </c>
      <c r="C139" s="193">
        <f>VLOOKUP(B139,'Tarifa 2025'!$B$103:$C$377,2,)</f>
        <v>1.3634999999999999</v>
      </c>
      <c r="D139" s="190">
        <v>6</v>
      </c>
      <c r="E139" s="190">
        <v>5.5</v>
      </c>
      <c r="F139" s="191">
        <v>100</v>
      </c>
      <c r="G139" s="190" t="s">
        <v>8</v>
      </c>
      <c r="H139" s="190" t="s">
        <v>98</v>
      </c>
      <c r="I139" s="190" t="s">
        <v>351</v>
      </c>
      <c r="J139" s="69">
        <v>136.35</v>
      </c>
      <c r="K139" s="69">
        <v>136.35</v>
      </c>
      <c r="L139" s="160">
        <v>45292</v>
      </c>
      <c r="O139" s="75">
        <v>1.3221000000000001</v>
      </c>
      <c r="P139" s="75">
        <v>132.21</v>
      </c>
      <c r="Q139" s="75">
        <v>132.21</v>
      </c>
    </row>
    <row r="140" spans="1:17">
      <c r="A140" s="505"/>
      <c r="B140" s="188" t="s">
        <v>625</v>
      </c>
      <c r="C140" s="193">
        <f>VLOOKUP(B140,'Tarifa 2025'!$B$103:$C$377,2,)</f>
        <v>1.5581</v>
      </c>
      <c r="D140" s="190">
        <v>6</v>
      </c>
      <c r="E140" s="190">
        <v>5.5</v>
      </c>
      <c r="F140" s="191">
        <v>100</v>
      </c>
      <c r="G140" s="190" t="s">
        <v>8</v>
      </c>
      <c r="H140" s="190" t="s">
        <v>98</v>
      </c>
      <c r="I140" s="190" t="s">
        <v>351</v>
      </c>
      <c r="J140" s="429">
        <v>155.81</v>
      </c>
      <c r="K140" s="429">
        <v>155.81</v>
      </c>
      <c r="L140" s="160">
        <v>45292</v>
      </c>
      <c r="O140" s="75">
        <v>1.5104</v>
      </c>
      <c r="P140" s="75">
        <v>151.04</v>
      </c>
      <c r="Q140" s="75">
        <v>151.04</v>
      </c>
    </row>
    <row r="141" spans="1:17">
      <c r="A141" s="505"/>
      <c r="B141" s="188" t="s">
        <v>626</v>
      </c>
      <c r="C141" s="193">
        <f>VLOOKUP(B141,'Tarifa 2025'!$B$103:$C$377,2,)</f>
        <v>1.8794999999999999</v>
      </c>
      <c r="D141" s="190">
        <v>6</v>
      </c>
      <c r="E141" s="190">
        <v>5.5</v>
      </c>
      <c r="F141" s="191">
        <v>100</v>
      </c>
      <c r="G141" s="190" t="s">
        <v>8</v>
      </c>
      <c r="H141" s="190" t="s">
        <v>98</v>
      </c>
      <c r="I141" s="190" t="s">
        <v>351</v>
      </c>
      <c r="J141" s="429">
        <v>187.95</v>
      </c>
      <c r="K141" s="429">
        <v>187.95</v>
      </c>
      <c r="L141" s="160">
        <v>45292</v>
      </c>
      <c r="O141" s="75">
        <v>1.8263999999999998</v>
      </c>
      <c r="P141" s="75">
        <v>182.64</v>
      </c>
      <c r="Q141" s="75">
        <v>182.64</v>
      </c>
    </row>
    <row r="142" spans="1:17">
      <c r="A142" s="505"/>
      <c r="B142" s="108" t="s">
        <v>98</v>
      </c>
      <c r="C142" s="193">
        <f>VLOOKUP(B142,'Tarifa 2025'!$B$103:$C$377,2,)</f>
        <v>0</v>
      </c>
      <c r="D142" s="69"/>
      <c r="E142" s="69"/>
      <c r="F142" s="90"/>
      <c r="G142" s="69"/>
      <c r="H142" s="69"/>
      <c r="I142" s="69"/>
      <c r="J142" s="429"/>
      <c r="K142" s="429"/>
      <c r="L142" s="160">
        <v>45292</v>
      </c>
      <c r="O142" s="75">
        <v>0</v>
      </c>
      <c r="P142" s="75">
        <v>0</v>
      </c>
      <c r="Q142" s="75">
        <v>0</v>
      </c>
    </row>
    <row r="143" spans="1:17">
      <c r="A143" s="505"/>
      <c r="B143" s="188" t="s">
        <v>627</v>
      </c>
      <c r="C143" s="193">
        <f>VLOOKUP(B143,'Tarifa 2025'!$B$103:$C$377,2,)</f>
        <v>0.9133</v>
      </c>
      <c r="D143" s="190">
        <v>6</v>
      </c>
      <c r="E143" s="190">
        <v>5.5</v>
      </c>
      <c r="F143" s="191">
        <v>100</v>
      </c>
      <c r="G143" s="190" t="s">
        <v>8</v>
      </c>
      <c r="H143" s="190" t="s">
        <v>98</v>
      </c>
      <c r="I143" s="190" t="s">
        <v>351</v>
      </c>
      <c r="J143" s="429">
        <v>91.33</v>
      </c>
      <c r="K143" s="429">
        <v>91.33</v>
      </c>
      <c r="L143" s="160">
        <v>45292</v>
      </c>
      <c r="O143" s="75">
        <v>0.89060000000000006</v>
      </c>
      <c r="P143" s="75">
        <v>89.06</v>
      </c>
      <c r="Q143" s="75">
        <v>89.06</v>
      </c>
    </row>
    <row r="144" spans="1:17">
      <c r="A144" s="505"/>
      <c r="B144" s="188" t="s">
        <v>628</v>
      </c>
      <c r="C144" s="193">
        <f>VLOOKUP(B144,'Tarifa 2025'!$B$103:$C$377,2,)</f>
        <v>1.0221</v>
      </c>
      <c r="D144" s="190">
        <v>6</v>
      </c>
      <c r="E144" s="190">
        <v>5.5</v>
      </c>
      <c r="F144" s="191">
        <v>100</v>
      </c>
      <c r="G144" s="190" t="s">
        <v>8</v>
      </c>
      <c r="H144" s="190" t="s">
        <v>98</v>
      </c>
      <c r="I144" s="190" t="s">
        <v>351</v>
      </c>
      <c r="J144" s="429">
        <v>102.21</v>
      </c>
      <c r="K144" s="429">
        <v>102.21</v>
      </c>
      <c r="L144" s="160">
        <v>45292</v>
      </c>
      <c r="O144" s="75">
        <v>0.99590000000000001</v>
      </c>
      <c r="P144" s="75">
        <v>99.59</v>
      </c>
      <c r="Q144" s="75">
        <v>99.59</v>
      </c>
    </row>
    <row r="145" spans="1:17">
      <c r="A145" s="505"/>
      <c r="B145" s="188" t="s">
        <v>629</v>
      </c>
      <c r="C145" s="193">
        <f>VLOOKUP(B145,'Tarifa 2025'!$B$103:$C$377,2,)</f>
        <v>1.1488</v>
      </c>
      <c r="D145" s="190">
        <v>6</v>
      </c>
      <c r="E145" s="190">
        <v>5.5</v>
      </c>
      <c r="F145" s="191">
        <v>100</v>
      </c>
      <c r="G145" s="190" t="s">
        <v>8</v>
      </c>
      <c r="H145" s="190" t="s">
        <v>98</v>
      </c>
      <c r="I145" s="190" t="s">
        <v>351</v>
      </c>
      <c r="J145" s="69">
        <v>114.88</v>
      </c>
      <c r="K145" s="69">
        <v>114.88</v>
      </c>
      <c r="L145" s="160">
        <v>45292</v>
      </c>
      <c r="O145" s="75">
        <v>1.1152</v>
      </c>
      <c r="P145" s="75">
        <v>111.52</v>
      </c>
      <c r="Q145" s="75">
        <v>111.52</v>
      </c>
    </row>
    <row r="146" spans="1:17">
      <c r="A146" s="505"/>
      <c r="B146" s="188" t="s">
        <v>630</v>
      </c>
      <c r="C146" s="193">
        <f>VLOOKUP(B146,'Tarifa 2025'!$B$103:$C$377,2,)</f>
        <v>1.3088</v>
      </c>
      <c r="D146" s="190">
        <v>6</v>
      </c>
      <c r="E146" s="190">
        <v>5.5</v>
      </c>
      <c r="F146" s="191">
        <v>100</v>
      </c>
      <c r="G146" s="190" t="s">
        <v>8</v>
      </c>
      <c r="H146" s="190" t="s">
        <v>98</v>
      </c>
      <c r="I146" s="190" t="s">
        <v>351</v>
      </c>
      <c r="J146" s="429">
        <v>130.88</v>
      </c>
      <c r="K146" s="429">
        <v>130.88</v>
      </c>
      <c r="L146" s="160">
        <v>45292</v>
      </c>
      <c r="O146" s="75">
        <v>1.2707999999999999</v>
      </c>
      <c r="P146" s="75">
        <v>127.08</v>
      </c>
      <c r="Q146" s="75">
        <v>127.08</v>
      </c>
    </row>
    <row r="147" spans="1:17">
      <c r="A147" s="505"/>
      <c r="B147" s="188" t="s">
        <v>631</v>
      </c>
      <c r="C147" s="193">
        <f>VLOOKUP(B147,'Tarifa 2025'!$B$103:$C$377,2,)</f>
        <v>1.5363999999999998</v>
      </c>
      <c r="D147" s="190">
        <v>6</v>
      </c>
      <c r="E147" s="190">
        <v>5.5</v>
      </c>
      <c r="F147" s="191">
        <v>100</v>
      </c>
      <c r="G147" s="190" t="s">
        <v>8</v>
      </c>
      <c r="H147" s="190" t="s">
        <v>98</v>
      </c>
      <c r="I147" s="190" t="s">
        <v>351</v>
      </c>
      <c r="J147" s="429">
        <v>153.63999999999999</v>
      </c>
      <c r="K147" s="429">
        <v>153.63999999999999</v>
      </c>
      <c r="L147" s="160">
        <v>45292</v>
      </c>
      <c r="O147" s="75">
        <v>1.4942</v>
      </c>
      <c r="P147" s="75">
        <v>149.41999999999999</v>
      </c>
      <c r="Q147" s="75">
        <v>149.41999999999999</v>
      </c>
    </row>
    <row r="148" spans="1:17">
      <c r="A148" s="505"/>
      <c r="B148" s="188" t="s">
        <v>632</v>
      </c>
      <c r="C148" s="193">
        <f>VLOOKUP(B148,'Tarifa 2025'!$B$103:$C$377,2,)</f>
        <v>1.6943000000000001</v>
      </c>
      <c r="D148" s="190">
        <v>6</v>
      </c>
      <c r="E148" s="190">
        <v>5.5</v>
      </c>
      <c r="F148" s="191">
        <v>100</v>
      </c>
      <c r="G148" s="190" t="s">
        <v>8</v>
      </c>
      <c r="H148" s="190" t="s">
        <v>98</v>
      </c>
      <c r="I148" s="190" t="s">
        <v>351</v>
      </c>
      <c r="J148" s="429">
        <v>169.43</v>
      </c>
      <c r="K148" s="429">
        <v>169.43</v>
      </c>
      <c r="L148" s="160">
        <v>45292</v>
      </c>
      <c r="O148" s="75">
        <v>1.6440000000000001</v>
      </c>
      <c r="P148" s="75">
        <v>164.4</v>
      </c>
      <c r="Q148" s="75">
        <v>164.4</v>
      </c>
    </row>
    <row r="149" spans="1:17">
      <c r="A149" s="505"/>
      <c r="B149" s="188" t="s">
        <v>633</v>
      </c>
      <c r="C149" s="193">
        <f>VLOOKUP(B149,'Tarifa 2025'!$B$103:$C$377,2,)</f>
        <v>1.8341000000000001</v>
      </c>
      <c r="D149" s="190">
        <v>6</v>
      </c>
      <c r="E149" s="190">
        <v>5.5</v>
      </c>
      <c r="F149" s="191">
        <v>100</v>
      </c>
      <c r="G149" s="190" t="s">
        <v>8</v>
      </c>
      <c r="H149" s="190" t="s">
        <v>98</v>
      </c>
      <c r="I149" s="190" t="s">
        <v>351</v>
      </c>
      <c r="J149" s="429">
        <v>183.41</v>
      </c>
      <c r="K149" s="429">
        <v>183.41</v>
      </c>
      <c r="L149" s="160">
        <v>45292</v>
      </c>
      <c r="O149" s="75">
        <v>1.7890000000000001</v>
      </c>
      <c r="P149" s="75">
        <v>178.9</v>
      </c>
      <c r="Q149" s="75">
        <v>178.9</v>
      </c>
    </row>
    <row r="150" spans="1:17">
      <c r="A150" s="505"/>
      <c r="B150" s="108" t="s">
        <v>98</v>
      </c>
      <c r="C150" s="193">
        <f>VLOOKUP(B150,'Tarifa 2025'!$B$103:$C$377,2,)</f>
        <v>0</v>
      </c>
      <c r="D150" s="69"/>
      <c r="E150" s="69"/>
      <c r="F150" s="90"/>
      <c r="G150" s="69"/>
      <c r="H150" s="69"/>
      <c r="I150" s="69"/>
      <c r="J150" s="429"/>
      <c r="K150" s="429"/>
      <c r="L150" s="160">
        <v>45292</v>
      </c>
      <c r="O150" s="75">
        <v>0</v>
      </c>
      <c r="P150" s="75">
        <v>0</v>
      </c>
      <c r="Q150" s="75">
        <v>0</v>
      </c>
    </row>
    <row r="151" spans="1:17">
      <c r="A151" s="505"/>
      <c r="B151" s="188" t="s">
        <v>634</v>
      </c>
      <c r="C151" s="193">
        <f>VLOOKUP(B151,'Tarifa 2025'!$B$103:$C$377,2,)</f>
        <v>0.43825000000000003</v>
      </c>
      <c r="D151" s="190">
        <v>6</v>
      </c>
      <c r="E151" s="190">
        <v>5.5</v>
      </c>
      <c r="F151" s="191">
        <v>200</v>
      </c>
      <c r="G151" s="190" t="s">
        <v>8</v>
      </c>
      <c r="H151" s="190" t="s">
        <v>98</v>
      </c>
      <c r="I151" s="190" t="s">
        <v>351</v>
      </c>
      <c r="J151" s="429">
        <v>87.65</v>
      </c>
      <c r="K151" s="429">
        <v>87.65</v>
      </c>
      <c r="L151" s="160">
        <v>45292</v>
      </c>
      <c r="O151" s="75">
        <v>0.42755000000000004</v>
      </c>
      <c r="P151" s="75">
        <v>85.51</v>
      </c>
      <c r="Q151" s="75">
        <v>85.51</v>
      </c>
    </row>
    <row r="152" spans="1:17">
      <c r="A152" s="505"/>
      <c r="B152" s="188" t="s">
        <v>635</v>
      </c>
      <c r="C152" s="193">
        <f>VLOOKUP(B152,'Tarifa 2025'!$B$103:$C$377,2,)</f>
        <v>0.46255000000000002</v>
      </c>
      <c r="D152" s="190">
        <v>6</v>
      </c>
      <c r="E152" s="190">
        <v>5.5</v>
      </c>
      <c r="F152" s="191">
        <v>200</v>
      </c>
      <c r="G152" s="190" t="s">
        <v>8</v>
      </c>
      <c r="H152" s="190" t="s">
        <v>98</v>
      </c>
      <c r="I152" s="190" t="s">
        <v>351</v>
      </c>
      <c r="J152" s="429">
        <v>92.51</v>
      </c>
      <c r="K152" s="429">
        <v>92.51</v>
      </c>
      <c r="L152" s="160">
        <v>45292</v>
      </c>
      <c r="O152" s="75">
        <v>0.43045</v>
      </c>
      <c r="P152" s="75">
        <v>86.09</v>
      </c>
      <c r="Q152" s="75">
        <v>86.09</v>
      </c>
    </row>
    <row r="153" spans="1:17">
      <c r="A153" s="505"/>
      <c r="B153" s="188" t="s">
        <v>636</v>
      </c>
      <c r="C153" s="193">
        <f>VLOOKUP(B153,'Tarifa 2025'!$B$103:$C$377,2,)</f>
        <v>0.46255000000000002</v>
      </c>
      <c r="D153" s="190">
        <v>6</v>
      </c>
      <c r="E153" s="190">
        <v>5.5</v>
      </c>
      <c r="F153" s="191">
        <v>200</v>
      </c>
      <c r="G153" s="190" t="s">
        <v>8</v>
      </c>
      <c r="H153" s="190" t="s">
        <v>98</v>
      </c>
      <c r="I153" s="190" t="s">
        <v>351</v>
      </c>
      <c r="J153" s="69">
        <v>92.51</v>
      </c>
      <c r="K153" s="69">
        <v>92.51</v>
      </c>
      <c r="L153" s="160">
        <v>45292</v>
      </c>
      <c r="O153" s="75">
        <v>0.4506</v>
      </c>
      <c r="P153" s="75">
        <v>90.12</v>
      </c>
      <c r="Q153" s="75">
        <v>90.12</v>
      </c>
    </row>
    <row r="154" spans="1:17">
      <c r="A154" s="505"/>
      <c r="B154" s="188" t="s">
        <v>637</v>
      </c>
      <c r="C154" s="193">
        <f>VLOOKUP(B154,'Tarifa 2025'!$B$103:$C$377,2,)</f>
        <v>0.48869999999999997</v>
      </c>
      <c r="D154" s="190">
        <v>6</v>
      </c>
      <c r="E154" s="190">
        <v>5.5</v>
      </c>
      <c r="F154" s="191">
        <v>200</v>
      </c>
      <c r="G154" s="190" t="s">
        <v>8</v>
      </c>
      <c r="H154" s="190" t="s">
        <v>98</v>
      </c>
      <c r="I154" s="190" t="s">
        <v>351</v>
      </c>
      <c r="J154" s="429">
        <v>97.74</v>
      </c>
      <c r="K154" s="429">
        <v>97.74</v>
      </c>
      <c r="L154" s="160">
        <v>45292</v>
      </c>
      <c r="O154" s="75">
        <v>0.47635</v>
      </c>
      <c r="P154" s="75">
        <v>95.27</v>
      </c>
      <c r="Q154" s="75">
        <v>95.27</v>
      </c>
    </row>
    <row r="155" spans="1:17">
      <c r="A155" s="505"/>
      <c r="B155" s="188" t="s">
        <v>638</v>
      </c>
      <c r="C155" s="193">
        <f>VLOOKUP(B155,'Tarifa 2025'!$B$103:$C$377,2,)</f>
        <v>0.51369999999999993</v>
      </c>
      <c r="D155" s="190">
        <v>6</v>
      </c>
      <c r="E155" s="190">
        <v>5.5</v>
      </c>
      <c r="F155" s="191">
        <v>200</v>
      </c>
      <c r="G155" s="190" t="s">
        <v>8</v>
      </c>
      <c r="H155" s="190" t="s">
        <v>98</v>
      </c>
      <c r="I155" s="190" t="s">
        <v>351</v>
      </c>
      <c r="J155" s="429">
        <v>102.74</v>
      </c>
      <c r="K155" s="429">
        <v>102.74</v>
      </c>
      <c r="L155" s="160">
        <v>45292</v>
      </c>
      <c r="O155" s="75">
        <v>0.49975000000000003</v>
      </c>
      <c r="P155" s="75">
        <v>99.95</v>
      </c>
      <c r="Q155" s="75">
        <v>99.95</v>
      </c>
    </row>
    <row r="156" spans="1:17">
      <c r="A156" s="505"/>
      <c r="B156" s="188" t="s">
        <v>639</v>
      </c>
      <c r="C156" s="193">
        <f>VLOOKUP(B156,'Tarifa 2025'!$B$103:$C$377,2,)</f>
        <v>0.56509999999999994</v>
      </c>
      <c r="D156" s="190">
        <v>6</v>
      </c>
      <c r="E156" s="190">
        <v>5.5</v>
      </c>
      <c r="F156" s="191">
        <v>100</v>
      </c>
      <c r="G156" s="190" t="s">
        <v>8</v>
      </c>
      <c r="H156" s="190" t="s">
        <v>98</v>
      </c>
      <c r="I156" s="190" t="s">
        <v>351</v>
      </c>
      <c r="J156" s="429">
        <v>56.51</v>
      </c>
      <c r="K156" s="429">
        <v>56.51</v>
      </c>
      <c r="L156" s="160">
        <v>45292</v>
      </c>
      <c r="O156" s="75">
        <v>0.55100000000000005</v>
      </c>
      <c r="P156" s="75">
        <v>55.1</v>
      </c>
      <c r="Q156" s="75">
        <v>55.1</v>
      </c>
    </row>
    <row r="157" spans="1:17">
      <c r="A157" s="505"/>
      <c r="B157" s="188" t="s">
        <v>640</v>
      </c>
      <c r="C157" s="193">
        <f>VLOOKUP(B157,'Tarifa 2025'!$B$103:$C$377,2,)</f>
        <v>0.6855</v>
      </c>
      <c r="D157" s="190">
        <v>6</v>
      </c>
      <c r="E157" s="190">
        <v>5.5</v>
      </c>
      <c r="F157" s="191">
        <v>100</v>
      </c>
      <c r="G157" s="190" t="s">
        <v>8</v>
      </c>
      <c r="H157" s="190" t="s">
        <v>98</v>
      </c>
      <c r="I157" s="190" t="s">
        <v>351</v>
      </c>
      <c r="J157" s="429">
        <v>68.55</v>
      </c>
      <c r="K157" s="429">
        <v>68.55</v>
      </c>
      <c r="L157" s="160">
        <v>45292</v>
      </c>
      <c r="O157" s="75">
        <v>0.66900000000000004</v>
      </c>
      <c r="P157" s="75">
        <v>66.900000000000006</v>
      </c>
      <c r="Q157" s="75">
        <v>66.900000000000006</v>
      </c>
    </row>
    <row r="158" spans="1:17">
      <c r="A158" s="505"/>
      <c r="B158" s="188" t="s">
        <v>641</v>
      </c>
      <c r="C158" s="193">
        <f>VLOOKUP(B158,'Tarifa 2025'!$B$103:$C$377,2,)</f>
        <v>0.85099999999999998</v>
      </c>
      <c r="D158" s="190">
        <v>6</v>
      </c>
      <c r="E158" s="190">
        <v>5.5</v>
      </c>
      <c r="F158" s="191">
        <v>100</v>
      </c>
      <c r="G158" s="190" t="s">
        <v>8</v>
      </c>
      <c r="H158" s="190" t="s">
        <v>98</v>
      </c>
      <c r="I158" s="190" t="s">
        <v>351</v>
      </c>
      <c r="J158" s="429">
        <v>85.1</v>
      </c>
      <c r="K158" s="429">
        <v>85.1</v>
      </c>
      <c r="L158" s="160">
        <v>45292</v>
      </c>
      <c r="O158" s="75">
        <v>0.82980000000000009</v>
      </c>
      <c r="P158" s="75">
        <v>82.98</v>
      </c>
      <c r="Q158" s="75">
        <v>82.98</v>
      </c>
    </row>
    <row r="159" spans="1:17">
      <c r="A159" s="505"/>
      <c r="B159" s="188" t="s">
        <v>642</v>
      </c>
      <c r="C159" s="193">
        <f>VLOOKUP(B159,'Tarifa 2025'!$B$103:$C$377,2,)</f>
        <v>1.0498000000000001</v>
      </c>
      <c r="D159" s="190">
        <v>6</v>
      </c>
      <c r="E159" s="190">
        <v>5.5</v>
      </c>
      <c r="F159" s="191">
        <v>100</v>
      </c>
      <c r="G159" s="190" t="s">
        <v>8</v>
      </c>
      <c r="H159" s="190" t="s">
        <v>98</v>
      </c>
      <c r="I159" s="190" t="s">
        <v>351</v>
      </c>
      <c r="J159" s="429">
        <v>104.98</v>
      </c>
      <c r="K159" s="429">
        <v>104.98</v>
      </c>
      <c r="L159" s="160">
        <v>45292</v>
      </c>
      <c r="O159" s="75">
        <v>1.0194000000000001</v>
      </c>
      <c r="P159" s="75">
        <v>101.94</v>
      </c>
      <c r="Q159" s="75">
        <v>101.94</v>
      </c>
    </row>
    <row r="160" spans="1:17">
      <c r="A160" s="505"/>
      <c r="B160" s="108" t="s">
        <v>98</v>
      </c>
      <c r="C160" s="193">
        <f>VLOOKUP(B160,'Tarifa 2025'!$B$103:$C$377,2,)</f>
        <v>0</v>
      </c>
      <c r="D160" s="69"/>
      <c r="E160" s="69"/>
      <c r="F160" s="90"/>
      <c r="G160" s="69"/>
      <c r="H160" s="69"/>
      <c r="I160" s="69"/>
      <c r="J160" s="429"/>
      <c r="K160" s="429"/>
      <c r="L160" s="160">
        <v>45292</v>
      </c>
      <c r="O160" s="75">
        <v>0</v>
      </c>
      <c r="P160" s="75">
        <v>0</v>
      </c>
      <c r="Q160" s="75">
        <v>0</v>
      </c>
    </row>
    <row r="161" spans="1:17">
      <c r="A161" s="505"/>
      <c r="B161" s="108" t="s">
        <v>98</v>
      </c>
      <c r="C161" s="193">
        <f>VLOOKUP(B161,'Tarifa 2025'!$B$103:$C$377,2,)</f>
        <v>0</v>
      </c>
      <c r="D161" s="69"/>
      <c r="E161" s="69"/>
      <c r="F161" s="112"/>
      <c r="G161" s="111"/>
      <c r="H161" s="69"/>
      <c r="I161" s="111"/>
      <c r="J161" s="429"/>
      <c r="K161" s="429"/>
      <c r="L161" s="160">
        <v>45292</v>
      </c>
      <c r="O161" s="75">
        <v>0</v>
      </c>
      <c r="P161" s="75">
        <v>0</v>
      </c>
      <c r="Q161" s="75">
        <v>0</v>
      </c>
    </row>
    <row r="162" spans="1:17">
      <c r="A162" s="505"/>
      <c r="B162" s="149" t="s">
        <v>193</v>
      </c>
      <c r="C162" s="193">
        <f>VLOOKUP(B162,'Tarifa 2025'!$B$103:$C$377,2,)</f>
        <v>0.80449999999999999</v>
      </c>
      <c r="D162" s="150">
        <v>1</v>
      </c>
      <c r="E162" s="150">
        <v>1</v>
      </c>
      <c r="F162" s="151">
        <v>100</v>
      </c>
      <c r="G162" s="150" t="s">
        <v>8</v>
      </c>
      <c r="H162" s="150" t="s">
        <v>98</v>
      </c>
      <c r="I162" s="150" t="s">
        <v>351</v>
      </c>
      <c r="J162" s="429"/>
      <c r="K162" s="429"/>
      <c r="L162" s="160">
        <v>45292</v>
      </c>
      <c r="O162" s="75">
        <v>0.80449999999999999</v>
      </c>
      <c r="P162" s="75">
        <v>80.45</v>
      </c>
      <c r="Q162" s="75">
        <v>80.45</v>
      </c>
    </row>
    <row r="163" spans="1:17">
      <c r="A163" s="505"/>
      <c r="B163" s="149" t="s">
        <v>194</v>
      </c>
      <c r="C163" s="193">
        <f>VLOOKUP(B163,'Tarifa 2025'!$B$103:$C$377,2,)</f>
        <v>0.92359999999999998</v>
      </c>
      <c r="D163" s="150">
        <v>1</v>
      </c>
      <c r="E163" s="150">
        <v>1</v>
      </c>
      <c r="F163" s="151">
        <v>100</v>
      </c>
      <c r="G163" s="150" t="s">
        <v>8</v>
      </c>
      <c r="H163" s="150" t="s">
        <v>98</v>
      </c>
      <c r="I163" s="150" t="s">
        <v>351</v>
      </c>
      <c r="J163" s="69"/>
      <c r="K163" s="69"/>
      <c r="L163" s="160">
        <v>45292</v>
      </c>
      <c r="O163" s="75">
        <v>0.92359999999999998</v>
      </c>
      <c r="P163" s="75">
        <v>92.36</v>
      </c>
      <c r="Q163" s="75">
        <v>92.36</v>
      </c>
    </row>
    <row r="164" spans="1:17">
      <c r="A164" s="505"/>
      <c r="B164" s="149" t="s">
        <v>195</v>
      </c>
      <c r="C164" s="193">
        <f>VLOOKUP(B164,'Tarifa 2025'!$B$103:$C$377,2,)</f>
        <v>1.1254999999999999</v>
      </c>
      <c r="D164" s="150">
        <v>1</v>
      </c>
      <c r="E164" s="150">
        <v>1</v>
      </c>
      <c r="F164" s="151">
        <v>100</v>
      </c>
      <c r="G164" s="150" t="s">
        <v>8</v>
      </c>
      <c r="H164" s="150" t="s">
        <v>98</v>
      </c>
      <c r="I164" s="150" t="s">
        <v>351</v>
      </c>
      <c r="J164" s="113"/>
      <c r="K164" s="113"/>
      <c r="L164" s="160">
        <v>45292</v>
      </c>
      <c r="O164" s="75">
        <v>1.1254999999999999</v>
      </c>
      <c r="P164" s="75">
        <v>112.55</v>
      </c>
      <c r="Q164" s="75">
        <v>112.55</v>
      </c>
    </row>
    <row r="165" spans="1:17">
      <c r="A165" s="505"/>
      <c r="B165" s="149" t="s">
        <v>196</v>
      </c>
      <c r="C165" s="193">
        <f>VLOOKUP(B165,'Tarifa 2025'!$B$103:$C$377,2,)</f>
        <v>1.2858000000000001</v>
      </c>
      <c r="D165" s="150">
        <v>1</v>
      </c>
      <c r="E165" s="150">
        <v>1</v>
      </c>
      <c r="F165" s="151">
        <v>100</v>
      </c>
      <c r="G165" s="150" t="s">
        <v>8</v>
      </c>
      <c r="H165" s="150" t="s">
        <v>98</v>
      </c>
      <c r="I165" s="150" t="s">
        <v>351</v>
      </c>
      <c r="J165" s="152"/>
      <c r="K165" s="152"/>
      <c r="L165" s="160">
        <v>45292</v>
      </c>
      <c r="O165" s="75">
        <v>1.2858000000000001</v>
      </c>
      <c r="P165" s="75">
        <v>128.58000000000001</v>
      </c>
      <c r="Q165" s="75">
        <v>128.58000000000001</v>
      </c>
    </row>
    <row r="166" spans="1:17">
      <c r="A166" s="505"/>
      <c r="B166" s="149" t="s">
        <v>197</v>
      </c>
      <c r="C166" s="193">
        <f>VLOOKUP(B166,'Tarifa 2025'!$B$103:$C$377,2,)</f>
        <v>1.5549000000000002</v>
      </c>
      <c r="D166" s="150">
        <v>1</v>
      </c>
      <c r="E166" s="150">
        <v>1</v>
      </c>
      <c r="F166" s="151">
        <v>100</v>
      </c>
      <c r="G166" s="150" t="s">
        <v>8</v>
      </c>
      <c r="H166" s="150" t="s">
        <v>98</v>
      </c>
      <c r="I166" s="150" t="s">
        <v>351</v>
      </c>
      <c r="J166" s="152"/>
      <c r="K166" s="152"/>
      <c r="L166" s="160">
        <v>45292</v>
      </c>
      <c r="O166" s="75">
        <v>1.5549000000000002</v>
      </c>
      <c r="P166" s="75">
        <v>155.49</v>
      </c>
      <c r="Q166" s="75">
        <v>155.49</v>
      </c>
    </row>
    <row r="167" spans="1:17">
      <c r="A167" s="509" t="s">
        <v>292</v>
      </c>
      <c r="B167" s="118" t="s">
        <v>98</v>
      </c>
      <c r="C167" s="193">
        <f>VLOOKUP(B167,'Tarifa 2025'!$B$103:$C$377,2,)</f>
        <v>0</v>
      </c>
      <c r="D167" s="116"/>
      <c r="E167" s="116"/>
      <c r="F167" s="117"/>
      <c r="G167" s="116"/>
      <c r="H167" s="116"/>
      <c r="I167" s="116"/>
      <c r="J167" s="430"/>
      <c r="K167" s="430"/>
      <c r="L167" s="160">
        <v>45292</v>
      </c>
      <c r="O167" s="75">
        <v>0</v>
      </c>
      <c r="P167" s="75">
        <v>0</v>
      </c>
      <c r="Q167" s="75">
        <v>0</v>
      </c>
    </row>
    <row r="168" spans="1:17" ht="16.5">
      <c r="A168" s="509"/>
      <c r="B168" s="197" t="s">
        <v>643</v>
      </c>
      <c r="C168" s="193">
        <f>VLOOKUP(B168,'Tarifa 2025'!$B$103:$C$377,2,)</f>
        <v>2.4352727272727273</v>
      </c>
      <c r="D168" s="199">
        <v>1.1000000000000001</v>
      </c>
      <c r="E168" s="199"/>
      <c r="F168" s="200">
        <v>55</v>
      </c>
      <c r="G168" s="199" t="s">
        <v>646</v>
      </c>
      <c r="H168" s="199">
        <v>33</v>
      </c>
      <c r="I168" s="199" t="s">
        <v>352</v>
      </c>
      <c r="J168" s="430">
        <v>133.94</v>
      </c>
      <c r="K168" s="430">
        <f t="shared" ref="K168" si="6">J168</f>
        <v>133.94</v>
      </c>
      <c r="L168" s="160">
        <v>45292</v>
      </c>
      <c r="O168" s="75">
        <v>2.3676363636363638</v>
      </c>
      <c r="P168" s="75">
        <v>130.22</v>
      </c>
      <c r="Q168" s="75">
        <v>130.22</v>
      </c>
    </row>
    <row r="169" spans="1:17">
      <c r="A169" s="509"/>
      <c r="B169" s="197" t="s">
        <v>98</v>
      </c>
      <c r="C169" s="193">
        <f>VLOOKUP(B169,'Tarifa 2025'!$B$103:$C$377,2,)</f>
        <v>0</v>
      </c>
      <c r="D169" s="199"/>
      <c r="E169" s="199"/>
      <c r="F169" s="200"/>
      <c r="G169" s="199"/>
      <c r="H169" s="199"/>
      <c r="I169" s="199"/>
      <c r="J169" s="430"/>
      <c r="K169" s="430"/>
      <c r="L169" s="160">
        <v>45292</v>
      </c>
      <c r="O169" s="75">
        <v>0</v>
      </c>
      <c r="P169" s="75">
        <v>0</v>
      </c>
      <c r="Q169" s="75">
        <v>0</v>
      </c>
    </row>
    <row r="170" spans="1:17" ht="16.5">
      <c r="A170" s="509"/>
      <c r="B170" s="197" t="s">
        <v>644</v>
      </c>
      <c r="C170" s="193">
        <f>VLOOKUP(B170,'Tarifa 2025'!$B$103:$C$377,2,)</f>
        <v>2.4352727272727273</v>
      </c>
      <c r="D170" s="199">
        <v>2.2000000000000002</v>
      </c>
      <c r="E170" s="199"/>
      <c r="F170" s="200">
        <v>55</v>
      </c>
      <c r="G170" s="199" t="s">
        <v>646</v>
      </c>
      <c r="H170" s="199">
        <v>33</v>
      </c>
      <c r="I170" s="199" t="s">
        <v>352</v>
      </c>
      <c r="J170" s="430">
        <f>J168</f>
        <v>133.94</v>
      </c>
      <c r="K170" s="430">
        <f>J170</f>
        <v>133.94</v>
      </c>
      <c r="L170" s="160">
        <v>45292</v>
      </c>
      <c r="O170" s="75">
        <v>2.3676363636363638</v>
      </c>
      <c r="P170" s="75">
        <v>130.22</v>
      </c>
      <c r="Q170" s="75">
        <v>130.22</v>
      </c>
    </row>
    <row r="171" spans="1:17">
      <c r="A171" s="509"/>
      <c r="B171" s="197" t="s">
        <v>98</v>
      </c>
      <c r="C171" s="193">
        <f>VLOOKUP(B171,'Tarifa 2025'!$B$103:$C$377,2,)</f>
        <v>0</v>
      </c>
      <c r="D171" s="199"/>
      <c r="E171" s="199"/>
      <c r="F171" s="200"/>
      <c r="G171" s="199"/>
      <c r="H171" s="199"/>
      <c r="I171" s="199"/>
      <c r="L171" s="160">
        <v>45292</v>
      </c>
      <c r="O171" s="75">
        <v>0</v>
      </c>
      <c r="P171" s="75">
        <v>0</v>
      </c>
      <c r="Q171" s="75">
        <v>0</v>
      </c>
    </row>
    <row r="172" spans="1:17" ht="16.5">
      <c r="A172" s="509"/>
      <c r="B172" s="197" t="s">
        <v>645</v>
      </c>
      <c r="C172" s="193">
        <f>VLOOKUP(B172,'Tarifa 2025'!$B$103:$C$377,2,)</f>
        <v>6.2504</v>
      </c>
      <c r="D172" s="199">
        <v>1</v>
      </c>
      <c r="E172" s="199"/>
      <c r="F172" s="200">
        <v>50</v>
      </c>
      <c r="G172" s="199" t="s">
        <v>646</v>
      </c>
      <c r="H172" s="199">
        <v>90</v>
      </c>
      <c r="I172" s="199" t="s">
        <v>352</v>
      </c>
      <c r="J172" s="430">
        <v>312.52</v>
      </c>
      <c r="K172" s="430">
        <f>J172</f>
        <v>312.52</v>
      </c>
      <c r="L172" s="160">
        <v>45292</v>
      </c>
      <c r="O172" s="75">
        <v>6.0882000000000005</v>
      </c>
      <c r="P172" s="75">
        <v>304.41000000000003</v>
      </c>
      <c r="Q172" s="75">
        <v>304.41000000000003</v>
      </c>
    </row>
    <row r="173" spans="1:17">
      <c r="A173" s="77"/>
      <c r="B173" s="104"/>
      <c r="C173" s="193" t="e">
        <f t="shared" ref="C141:C202" si="7">O173</f>
        <v>#N/A</v>
      </c>
      <c r="D173" s="78"/>
      <c r="E173" s="78"/>
      <c r="F173" s="87"/>
      <c r="G173" s="78"/>
      <c r="L173" s="160">
        <v>45292</v>
      </c>
      <c r="O173" s="75" t="e">
        <v>#N/A</v>
      </c>
      <c r="P173" s="75" t="e">
        <v>#N/A</v>
      </c>
      <c r="Q173" s="75" t="e">
        <v>#N/A</v>
      </c>
    </row>
    <row r="174" spans="1:17" ht="15" thickBot="1">
      <c r="A174" s="506" t="s">
        <v>162</v>
      </c>
      <c r="B174" s="528" t="s">
        <v>1007</v>
      </c>
      <c r="C174" s="193">
        <f>J174/F174</f>
        <v>13.456666666666667</v>
      </c>
      <c r="D174" s="170">
        <v>0.17</v>
      </c>
      <c r="E174" s="171"/>
      <c r="F174" s="172">
        <v>15</v>
      </c>
      <c r="G174" s="171" t="s">
        <v>13</v>
      </c>
      <c r="H174" s="171"/>
      <c r="I174" s="171" t="s">
        <v>353</v>
      </c>
      <c r="J174" s="521">
        <f>VLOOKUP(B174,Hoja1!$C$6:$E$19,3,)</f>
        <v>201.85</v>
      </c>
      <c r="K174" s="523">
        <f t="shared" ref="K174:K192" si="8">J174</f>
        <v>201.85</v>
      </c>
      <c r="L174" s="160">
        <v>45474</v>
      </c>
      <c r="M174" s="144"/>
      <c r="N174" s="136"/>
      <c r="O174" s="75" t="e">
        <v>#N/A</v>
      </c>
      <c r="P174" s="75" t="e">
        <v>#N/A</v>
      </c>
      <c r="Q174" s="75" t="e">
        <v>#N/A</v>
      </c>
    </row>
    <row r="175" spans="1:17" ht="15" thickBot="1">
      <c r="A175" s="506"/>
      <c r="B175" s="528" t="s">
        <v>1008</v>
      </c>
      <c r="C175" s="193">
        <f>J175/F175</f>
        <v>15.559999999999999</v>
      </c>
      <c r="D175" s="170">
        <v>0.17</v>
      </c>
      <c r="E175" s="171"/>
      <c r="F175" s="172">
        <v>5</v>
      </c>
      <c r="G175" s="171" t="s">
        <v>13</v>
      </c>
      <c r="H175" s="171"/>
      <c r="I175" s="171" t="s">
        <v>353</v>
      </c>
      <c r="J175" s="521">
        <f>VLOOKUP(B175,Hoja1!$C$6:$E$19,3,)</f>
        <v>77.8</v>
      </c>
      <c r="K175" s="523">
        <f t="shared" si="8"/>
        <v>77.8</v>
      </c>
      <c r="L175" s="160">
        <v>45474</v>
      </c>
      <c r="M175" s="144"/>
      <c r="N175" s="136"/>
      <c r="O175" s="75" t="e">
        <v>#N/A</v>
      </c>
      <c r="P175" s="75" t="e">
        <v>#N/A</v>
      </c>
      <c r="Q175" s="75" t="e">
        <v>#N/A</v>
      </c>
    </row>
    <row r="176" spans="1:17">
      <c r="A176" s="77"/>
      <c r="B176" s="104"/>
      <c r="C176" s="193" t="e">
        <f t="shared" si="7"/>
        <v>#N/A</v>
      </c>
      <c r="D176" s="78"/>
      <c r="E176" s="78"/>
      <c r="F176" s="87"/>
      <c r="G176" s="78"/>
      <c r="J176" s="521"/>
      <c r="K176" s="523">
        <f t="shared" si="8"/>
        <v>0</v>
      </c>
      <c r="L176" s="160">
        <v>45292</v>
      </c>
      <c r="O176" s="75" t="e">
        <v>#N/A</v>
      </c>
      <c r="P176" s="75" t="e">
        <v>#N/A</v>
      </c>
      <c r="Q176" s="75" t="e">
        <v>#N/A</v>
      </c>
    </row>
    <row r="177" spans="1:17" ht="15" thickBot="1">
      <c r="A177" s="507" t="s">
        <v>11</v>
      </c>
      <c r="B177" s="528" t="s">
        <v>1001</v>
      </c>
      <c r="C177" s="193">
        <f>J177/F177</f>
        <v>5.3260000000000005</v>
      </c>
      <c r="D177" s="166">
        <v>1.8</v>
      </c>
      <c r="E177" s="167"/>
      <c r="F177" s="168">
        <v>25</v>
      </c>
      <c r="G177" s="167" t="s">
        <v>5</v>
      </c>
      <c r="H177" s="167"/>
      <c r="I177" s="167" t="s">
        <v>353</v>
      </c>
      <c r="J177" s="521">
        <f>VLOOKUP(B177,Hoja1!$C$6:$E$19,3,)</f>
        <v>133.15</v>
      </c>
      <c r="K177" s="523">
        <f t="shared" si="8"/>
        <v>133.15</v>
      </c>
      <c r="L177" s="160">
        <v>45474</v>
      </c>
      <c r="M177" s="144"/>
      <c r="O177" s="75" t="e">
        <v>#N/A</v>
      </c>
      <c r="P177" s="75" t="e">
        <v>#N/A</v>
      </c>
      <c r="Q177" s="75" t="e">
        <v>#N/A</v>
      </c>
    </row>
    <row r="178" spans="1:17" ht="15" thickBot="1">
      <c r="A178" s="507"/>
      <c r="B178" s="531" t="s">
        <v>1002</v>
      </c>
      <c r="C178" s="193">
        <f t="shared" ref="C178:C180" si="9">J178/F178</f>
        <v>5.2379999999999995</v>
      </c>
      <c r="D178" s="166">
        <v>1.8</v>
      </c>
      <c r="E178" s="167"/>
      <c r="F178" s="168">
        <v>25</v>
      </c>
      <c r="G178" s="167" t="s">
        <v>5</v>
      </c>
      <c r="H178" s="167"/>
      <c r="I178" s="167" t="s">
        <v>353</v>
      </c>
      <c r="J178" s="521">
        <f>VLOOKUP(B178,Hoja1!$C$6:$E$19,3,)</f>
        <v>130.94999999999999</v>
      </c>
      <c r="K178" s="523">
        <f t="shared" si="8"/>
        <v>130.94999999999999</v>
      </c>
      <c r="L178" s="160">
        <v>45474</v>
      </c>
      <c r="M178" s="144"/>
      <c r="O178" s="75" t="e">
        <v>#N/A</v>
      </c>
      <c r="P178" s="75" t="e">
        <v>#N/A</v>
      </c>
      <c r="Q178" s="75" t="e">
        <v>#N/A</v>
      </c>
    </row>
    <row r="179" spans="1:17" ht="15" thickBot="1">
      <c r="A179" s="507"/>
      <c r="B179" s="528" t="s">
        <v>1003</v>
      </c>
      <c r="C179" s="193">
        <f t="shared" si="9"/>
        <v>5.59</v>
      </c>
      <c r="D179" s="122">
        <v>2.7</v>
      </c>
      <c r="E179" s="123"/>
      <c r="F179" s="124">
        <v>25</v>
      </c>
      <c r="G179" s="167" t="s">
        <v>5</v>
      </c>
      <c r="H179" s="123"/>
      <c r="I179" s="167" t="s">
        <v>353</v>
      </c>
      <c r="J179" s="521">
        <f>VLOOKUP(B179,Hoja1!$C$6:$E$19,3,)</f>
        <v>139.75</v>
      </c>
      <c r="K179" s="523">
        <f t="shared" si="8"/>
        <v>139.75</v>
      </c>
      <c r="L179" s="160">
        <v>45474</v>
      </c>
      <c r="M179" s="138"/>
      <c r="O179" s="75" t="e">
        <v>#N/A</v>
      </c>
      <c r="P179" s="75" t="e">
        <v>#N/A</v>
      </c>
      <c r="Q179" s="75" t="e">
        <v>#N/A</v>
      </c>
    </row>
    <row r="180" spans="1:17" ht="15" thickBot="1">
      <c r="A180" s="507"/>
      <c r="B180" s="528" t="s">
        <v>1004</v>
      </c>
      <c r="C180" s="193">
        <f t="shared" si="9"/>
        <v>5.3439999999999994</v>
      </c>
      <c r="D180" s="166">
        <v>2.7</v>
      </c>
      <c r="E180" s="167"/>
      <c r="F180" s="168">
        <v>25</v>
      </c>
      <c r="G180" s="167" t="s">
        <v>5</v>
      </c>
      <c r="H180" s="167"/>
      <c r="I180" s="167" t="s">
        <v>353</v>
      </c>
      <c r="J180" s="521">
        <f>VLOOKUP(B180,Hoja1!$C$6:$E$19,3,)</f>
        <v>133.6</v>
      </c>
      <c r="K180" s="523">
        <f t="shared" si="8"/>
        <v>133.6</v>
      </c>
      <c r="L180" s="160">
        <v>45474</v>
      </c>
      <c r="M180" s="144"/>
      <c r="O180" s="75" t="e">
        <v>#N/A</v>
      </c>
      <c r="P180" s="75" t="e">
        <v>#N/A</v>
      </c>
      <c r="Q180" s="75" t="e">
        <v>#N/A</v>
      </c>
    </row>
    <row r="181" spans="1:17">
      <c r="A181" s="507"/>
      <c r="B181" s="165" t="s">
        <v>98</v>
      </c>
      <c r="C181" s="193">
        <f t="shared" si="7"/>
        <v>0</v>
      </c>
      <c r="D181" s="166"/>
      <c r="E181" s="167"/>
      <c r="F181" s="168"/>
      <c r="G181" s="167"/>
      <c r="H181" s="167"/>
      <c r="I181" s="167"/>
      <c r="J181" s="523"/>
      <c r="K181" s="523">
        <f t="shared" si="8"/>
        <v>0</v>
      </c>
      <c r="L181" s="160">
        <v>45474</v>
      </c>
      <c r="M181" s="144"/>
      <c r="O181" s="75">
        <v>0</v>
      </c>
      <c r="P181" s="75">
        <v>0</v>
      </c>
      <c r="Q181" s="75">
        <v>0</v>
      </c>
    </row>
    <row r="182" spans="1:17">
      <c r="C182" s="193" t="e">
        <f t="shared" si="7"/>
        <v>#N/A</v>
      </c>
      <c r="K182" s="55">
        <f t="shared" si="8"/>
        <v>0</v>
      </c>
      <c r="L182" s="160">
        <v>45292</v>
      </c>
      <c r="M182" s="78"/>
      <c r="O182" s="75" t="e">
        <v>#N/A</v>
      </c>
      <c r="P182" s="75" t="e">
        <v>#N/A</v>
      </c>
      <c r="Q182" s="75" t="e">
        <v>#N/A</v>
      </c>
    </row>
    <row r="183" spans="1:17">
      <c r="A183" s="503" t="s">
        <v>158</v>
      </c>
      <c r="B183" s="230" t="s">
        <v>918</v>
      </c>
      <c r="C183" s="520">
        <f>J183/F183</f>
        <v>17.423333333333336</v>
      </c>
      <c r="D183" s="175">
        <v>0.3</v>
      </c>
      <c r="E183" s="176"/>
      <c r="F183" s="177">
        <v>15</v>
      </c>
      <c r="G183" s="176" t="s">
        <v>13</v>
      </c>
      <c r="H183" s="176"/>
      <c r="I183" s="176" t="s">
        <v>353</v>
      </c>
      <c r="J183" s="521">
        <f>VLOOKUP(B183,Hoja1!$C$6:$E$19,3,)</f>
        <v>261.35000000000002</v>
      </c>
      <c r="K183" s="521">
        <f t="shared" si="8"/>
        <v>261.35000000000002</v>
      </c>
      <c r="L183" s="160">
        <v>45292</v>
      </c>
      <c r="M183" s="144"/>
      <c r="O183" s="75" t="e">
        <v>#N/A</v>
      </c>
      <c r="P183" s="75" t="e">
        <v>#N/A</v>
      </c>
      <c r="Q183" s="75" t="e">
        <v>#N/A</v>
      </c>
    </row>
    <row r="184" spans="1:17">
      <c r="A184" s="503"/>
      <c r="B184" s="231" t="s">
        <v>919</v>
      </c>
      <c r="C184" s="520">
        <f t="shared" ref="C184:C192" si="10">J184/F184</f>
        <v>16.899999999999999</v>
      </c>
      <c r="D184" s="175">
        <v>0.3</v>
      </c>
      <c r="E184" s="176"/>
      <c r="F184" s="177">
        <v>15</v>
      </c>
      <c r="G184" s="176" t="s">
        <v>13</v>
      </c>
      <c r="H184" s="176"/>
      <c r="I184" s="176" t="s">
        <v>353</v>
      </c>
      <c r="J184" s="521">
        <f>VLOOKUP(B184,Hoja1!$C$6:$E$19,3,)</f>
        <v>253.5</v>
      </c>
      <c r="K184" s="521">
        <f t="shared" si="8"/>
        <v>253.5</v>
      </c>
      <c r="L184" s="160">
        <v>45292</v>
      </c>
      <c r="M184" s="144"/>
      <c r="O184" s="75" t="e">
        <v>#N/A</v>
      </c>
      <c r="P184" s="75" t="e">
        <v>#N/A</v>
      </c>
      <c r="Q184" s="75" t="e">
        <v>#N/A</v>
      </c>
    </row>
    <row r="185" spans="1:17" ht="15" thickBot="1">
      <c r="A185" s="503"/>
      <c r="B185" s="531" t="s">
        <v>998</v>
      </c>
      <c r="C185" s="520">
        <f t="shared" si="10"/>
        <v>21.436666666666667</v>
      </c>
      <c r="D185" s="175">
        <v>0.3</v>
      </c>
      <c r="E185" s="176"/>
      <c r="F185" s="177">
        <v>15</v>
      </c>
      <c r="G185" s="176" t="s">
        <v>13</v>
      </c>
      <c r="H185" s="176"/>
      <c r="I185" s="176" t="s">
        <v>353</v>
      </c>
      <c r="J185" s="521">
        <f>VLOOKUP(B185,Hoja1!$C$6:$E$19,3,)</f>
        <v>321.55</v>
      </c>
      <c r="K185" s="522">
        <f t="shared" si="8"/>
        <v>321.55</v>
      </c>
      <c r="L185" s="160">
        <v>45292</v>
      </c>
      <c r="M185" s="144"/>
      <c r="O185" s="75" t="e">
        <v>#N/A</v>
      </c>
      <c r="P185" s="75" t="e">
        <v>#N/A</v>
      </c>
      <c r="Q185" s="75" t="e">
        <v>#N/A</v>
      </c>
    </row>
    <row r="186" spans="1:17">
      <c r="A186" s="503"/>
      <c r="B186" s="231" t="s">
        <v>920</v>
      </c>
      <c r="C186" s="520">
        <f t="shared" si="10"/>
        <v>14.426666666666668</v>
      </c>
      <c r="D186" s="175">
        <v>0.3</v>
      </c>
      <c r="E186" s="176"/>
      <c r="F186" s="177">
        <v>15</v>
      </c>
      <c r="G186" s="176" t="s">
        <v>13</v>
      </c>
      <c r="H186" s="176"/>
      <c r="I186" s="176" t="s">
        <v>353</v>
      </c>
      <c r="J186" s="521">
        <f>VLOOKUP(B186,Hoja1!$C$6:$E$19,3,)</f>
        <v>216.4</v>
      </c>
      <c r="K186" s="522">
        <f t="shared" si="8"/>
        <v>216.4</v>
      </c>
      <c r="L186" s="160">
        <v>45292</v>
      </c>
      <c r="M186" s="144"/>
      <c r="O186" s="75" t="e">
        <v>#N/A</v>
      </c>
      <c r="P186" s="75" t="e">
        <v>#N/A</v>
      </c>
      <c r="Q186" s="75" t="e">
        <v>#N/A</v>
      </c>
    </row>
    <row r="187" spans="1:17" ht="15" thickBot="1">
      <c r="A187" s="503"/>
      <c r="B187" s="531" t="s">
        <v>999</v>
      </c>
      <c r="C187" s="520">
        <f t="shared" si="10"/>
        <v>8.8740000000000006</v>
      </c>
      <c r="D187" s="175">
        <v>0.3</v>
      </c>
      <c r="E187" s="176"/>
      <c r="F187" s="177">
        <v>25</v>
      </c>
      <c r="G187" s="176" t="s">
        <v>926</v>
      </c>
      <c r="H187" s="176"/>
      <c r="I187" s="176" t="s">
        <v>353</v>
      </c>
      <c r="J187" s="521">
        <f>VLOOKUP(B187,Hoja1!$C$6:$E$19,3,)</f>
        <v>221.85</v>
      </c>
      <c r="K187" s="522">
        <f t="shared" si="8"/>
        <v>221.85</v>
      </c>
      <c r="L187" s="160">
        <v>45292</v>
      </c>
      <c r="M187" s="144"/>
      <c r="O187" s="75" t="e">
        <v>#N/A</v>
      </c>
      <c r="P187" s="75" t="e">
        <v>#N/A</v>
      </c>
      <c r="Q187" s="75" t="e">
        <v>#N/A</v>
      </c>
    </row>
    <row r="188" spans="1:17">
      <c r="A188" s="503"/>
      <c r="B188" s="231" t="s">
        <v>921</v>
      </c>
      <c r="C188" s="520">
        <f t="shared" si="10"/>
        <v>14.51</v>
      </c>
      <c r="D188" s="175">
        <v>0.3</v>
      </c>
      <c r="E188" s="176"/>
      <c r="F188" s="177">
        <v>15</v>
      </c>
      <c r="G188" s="176" t="s">
        <v>13</v>
      </c>
      <c r="H188" s="176"/>
      <c r="I188" s="176" t="s">
        <v>353</v>
      </c>
      <c r="J188" s="521">
        <f>VLOOKUP(B188,Hoja1!$C$6:$E$1000,3,)</f>
        <v>217.65</v>
      </c>
      <c r="K188" s="522">
        <f t="shared" si="8"/>
        <v>217.65</v>
      </c>
      <c r="L188" s="160">
        <v>45292</v>
      </c>
      <c r="M188" s="136"/>
      <c r="O188" s="75" t="e">
        <v>#N/A</v>
      </c>
      <c r="P188" s="75" t="e">
        <v>#N/A</v>
      </c>
      <c r="Q188" s="75" t="e">
        <v>#N/A</v>
      </c>
    </row>
    <row r="189" spans="1:17">
      <c r="A189" s="503"/>
      <c r="B189" s="535" t="s">
        <v>1005</v>
      </c>
      <c r="C189" s="520">
        <f t="shared" si="10"/>
        <v>15.110000000000001</v>
      </c>
      <c r="D189" s="175">
        <v>0.3</v>
      </c>
      <c r="E189" s="176"/>
      <c r="F189" s="177">
        <v>15</v>
      </c>
      <c r="G189" s="176" t="s">
        <v>13</v>
      </c>
      <c r="H189" s="176"/>
      <c r="I189" s="176" t="s">
        <v>353</v>
      </c>
      <c r="J189" s="521">
        <f>VLOOKUP(B189,Hoja1!$C$6:$E$1000,3,)</f>
        <v>226.65</v>
      </c>
      <c r="K189" s="522">
        <f t="shared" si="8"/>
        <v>226.65</v>
      </c>
      <c r="L189" s="160">
        <v>45292</v>
      </c>
      <c r="M189" s="136"/>
      <c r="O189" s="75" t="e">
        <v>#N/A</v>
      </c>
      <c r="P189" s="75" t="e">
        <v>#N/A</v>
      </c>
      <c r="Q189" s="75" t="e">
        <v>#N/A</v>
      </c>
    </row>
    <row r="190" spans="1:17">
      <c r="A190" s="503"/>
      <c r="B190" s="232" t="s">
        <v>924</v>
      </c>
      <c r="C190" s="520">
        <f t="shared" si="10"/>
        <v>18.326666666666664</v>
      </c>
      <c r="D190" s="175">
        <v>0.3</v>
      </c>
      <c r="E190" s="176"/>
      <c r="F190" s="177">
        <v>15</v>
      </c>
      <c r="G190" s="176" t="s">
        <v>13</v>
      </c>
      <c r="H190" s="176"/>
      <c r="I190" s="176" t="s">
        <v>353</v>
      </c>
      <c r="J190" s="521">
        <f>VLOOKUP(B190,Hoja1!$C$6:$E$1000,3,)</f>
        <v>274.89999999999998</v>
      </c>
      <c r="K190" s="522">
        <f t="shared" si="8"/>
        <v>274.89999999999998</v>
      </c>
      <c r="L190" s="160">
        <v>45292</v>
      </c>
      <c r="M190" s="139"/>
      <c r="N190" s="173"/>
      <c r="O190" s="75" t="e">
        <v>#N/A</v>
      </c>
      <c r="P190" s="75" t="e">
        <v>#N/A</v>
      </c>
      <c r="Q190" s="75" t="e">
        <v>#N/A</v>
      </c>
    </row>
    <row r="191" spans="1:17">
      <c r="A191" s="503"/>
      <c r="B191" s="535" t="s">
        <v>1006</v>
      </c>
      <c r="C191" s="520">
        <f t="shared" si="10"/>
        <v>27.95</v>
      </c>
      <c r="D191" s="175">
        <v>0.3</v>
      </c>
      <c r="E191" s="70"/>
      <c r="F191" s="92">
        <v>10</v>
      </c>
      <c r="G191" s="176" t="s">
        <v>13</v>
      </c>
      <c r="H191" s="70"/>
      <c r="I191" s="176" t="s">
        <v>353</v>
      </c>
      <c r="J191" s="521">
        <f>VLOOKUP(B191,Hoja1!$C$6:$E$1000,3,)</f>
        <v>279.5</v>
      </c>
      <c r="K191" s="522">
        <f t="shared" si="8"/>
        <v>279.5</v>
      </c>
      <c r="L191" s="160">
        <v>45292</v>
      </c>
      <c r="M191" s="78"/>
      <c r="N191" s="78"/>
      <c r="O191" s="75" t="e">
        <v>#N/A</v>
      </c>
      <c r="P191" s="75" t="e">
        <v>#N/A</v>
      </c>
      <c r="Q191" s="75" t="e">
        <v>#N/A</v>
      </c>
    </row>
    <row r="192" spans="1:17">
      <c r="A192" s="503"/>
      <c r="B192" s="232" t="s">
        <v>925</v>
      </c>
      <c r="C192" s="520">
        <f t="shared" si="10"/>
        <v>29.133333333333333</v>
      </c>
      <c r="D192" s="175">
        <v>0.3</v>
      </c>
      <c r="E192" s="176"/>
      <c r="F192" s="177">
        <v>15</v>
      </c>
      <c r="G192" s="176" t="s">
        <v>13</v>
      </c>
      <c r="H192" s="176"/>
      <c r="I192" s="176" t="s">
        <v>353</v>
      </c>
      <c r="J192" s="521">
        <f>VLOOKUP(B192,Hoja1!$C$6:$E$1000,3,)</f>
        <v>437</v>
      </c>
      <c r="K192" s="522">
        <f t="shared" si="8"/>
        <v>437</v>
      </c>
      <c r="L192" s="160">
        <v>45292</v>
      </c>
      <c r="M192" s="139"/>
      <c r="N192" s="169"/>
      <c r="O192" s="75" t="e">
        <v>#N/A</v>
      </c>
      <c r="P192" s="75" t="e">
        <v>#N/A</v>
      </c>
      <c r="Q192" s="75" t="e">
        <v>#N/A</v>
      </c>
    </row>
    <row r="193" spans="1:17">
      <c r="A193" s="81"/>
      <c r="B193" s="109" t="s">
        <v>98</v>
      </c>
      <c r="C193" s="193">
        <f t="shared" si="7"/>
        <v>0</v>
      </c>
      <c r="D193" s="70" t="s">
        <v>98</v>
      </c>
      <c r="E193" s="70"/>
      <c r="F193" s="92" t="s">
        <v>98</v>
      </c>
      <c r="G193" s="70" t="s">
        <v>98</v>
      </c>
      <c r="H193" s="70" t="s">
        <v>98</v>
      </c>
      <c r="I193" s="70" t="s">
        <v>98</v>
      </c>
      <c r="J193" s="70" t="s">
        <v>98</v>
      </c>
      <c r="K193" s="173" t="s">
        <v>98</v>
      </c>
      <c r="L193" s="160">
        <v>45292</v>
      </c>
      <c r="M193" s="78"/>
      <c r="N193" s="169"/>
      <c r="O193" s="75">
        <v>0</v>
      </c>
      <c r="P193" s="75">
        <v>0</v>
      </c>
      <c r="Q193" s="75">
        <v>0</v>
      </c>
    </row>
    <row r="194" spans="1:17" ht="16.5">
      <c r="A194" s="81"/>
      <c r="B194" s="174"/>
      <c r="C194" s="193" t="e">
        <f t="shared" si="7"/>
        <v>#N/A</v>
      </c>
      <c r="D194" s="175">
        <v>1</v>
      </c>
      <c r="E194" s="176"/>
      <c r="F194" s="177">
        <v>45.32</v>
      </c>
      <c r="G194" s="176" t="s">
        <v>646</v>
      </c>
      <c r="H194" s="176">
        <v>45.32</v>
      </c>
      <c r="I194" s="176" t="s">
        <v>351</v>
      </c>
      <c r="J194" s="183">
        <v>789.29</v>
      </c>
      <c r="K194" s="78">
        <f>J194</f>
        <v>789.29</v>
      </c>
      <c r="L194" s="160">
        <v>45292</v>
      </c>
      <c r="M194" s="139"/>
      <c r="N194" s="122"/>
      <c r="O194" s="75" t="e">
        <v>#N/A</v>
      </c>
      <c r="P194" s="75" t="e">
        <v>#N/A</v>
      </c>
      <c r="Q194" s="75" t="e">
        <v>#N/A</v>
      </c>
    </row>
    <row r="195" spans="1:17">
      <c r="C195" s="193" t="e">
        <f t="shared" si="7"/>
        <v>#N/A</v>
      </c>
      <c r="K195" s="169"/>
      <c r="L195" s="160">
        <v>45292</v>
      </c>
      <c r="M195" s="78"/>
      <c r="N195" s="169"/>
      <c r="O195" s="75" t="e">
        <v>#N/A</v>
      </c>
      <c r="P195" s="75" t="e">
        <v>#N/A</v>
      </c>
      <c r="Q195" s="75" t="e">
        <v>#N/A</v>
      </c>
    </row>
    <row r="196" spans="1:17">
      <c r="A196" s="512" t="s">
        <v>122</v>
      </c>
      <c r="B196" s="203" t="s">
        <v>648</v>
      </c>
      <c r="C196" s="193">
        <f>VLOOKUP(B196,'Tarifa 2025'!$B$103:$C$377,2,)</f>
        <v>6.5987999999999998</v>
      </c>
      <c r="D196" s="207">
        <v>1</v>
      </c>
      <c r="E196" s="207"/>
      <c r="F196" s="208">
        <v>25</v>
      </c>
      <c r="G196" s="207" t="s">
        <v>141</v>
      </c>
      <c r="H196" s="207" t="s">
        <v>98</v>
      </c>
      <c r="I196" s="207" t="s">
        <v>354</v>
      </c>
      <c r="J196" s="204">
        <v>164.97</v>
      </c>
      <c r="K196" s="169">
        <v>164.97</v>
      </c>
      <c r="L196" s="160">
        <v>45292</v>
      </c>
      <c r="M196" s="136"/>
      <c r="N196" s="169"/>
      <c r="O196" s="75">
        <v>6.4132000000000007</v>
      </c>
      <c r="P196" s="75">
        <v>160.33000000000001</v>
      </c>
      <c r="Q196" s="75">
        <v>160.33000000000001</v>
      </c>
    </row>
    <row r="197" spans="1:17" s="132" customFormat="1">
      <c r="A197" s="512"/>
      <c r="B197" s="203"/>
      <c r="C197" s="193" t="e">
        <f>VLOOKUP(B197,'Tarifa 2025'!$B$103:$C$377,2,)</f>
        <v>#N/A</v>
      </c>
      <c r="D197" s="207">
        <v>1</v>
      </c>
      <c r="E197" s="207"/>
      <c r="F197" s="208">
        <v>25</v>
      </c>
      <c r="G197" s="207" t="s">
        <v>141</v>
      </c>
      <c r="H197" s="207" t="s">
        <v>98</v>
      </c>
      <c r="I197" s="207" t="s">
        <v>354</v>
      </c>
      <c r="J197" s="204"/>
      <c r="K197" s="122">
        <v>0</v>
      </c>
      <c r="L197" s="160">
        <v>45292</v>
      </c>
      <c r="M197" s="140"/>
      <c r="N197" s="55"/>
      <c r="O197" s="75" t="e">
        <v>#N/A</v>
      </c>
      <c r="P197" s="75" t="e">
        <v>#N/A</v>
      </c>
      <c r="Q197" s="75" t="e">
        <v>#N/A</v>
      </c>
    </row>
    <row r="198" spans="1:17">
      <c r="A198" s="512"/>
      <c r="B198" s="203" t="s">
        <v>649</v>
      </c>
      <c r="C198" s="193">
        <f>VLOOKUP(B198,'Tarifa 2025'!$B$103:$C$377,2,)</f>
        <v>6.98</v>
      </c>
      <c r="D198" s="207">
        <v>1</v>
      </c>
      <c r="E198" s="207"/>
      <c r="F198" s="208">
        <v>25</v>
      </c>
      <c r="G198" s="207" t="s">
        <v>141</v>
      </c>
      <c r="H198" s="207" t="s">
        <v>98</v>
      </c>
      <c r="I198" s="207" t="s">
        <v>354</v>
      </c>
      <c r="J198" s="204">
        <v>174.5</v>
      </c>
      <c r="K198" s="169">
        <v>174.5</v>
      </c>
      <c r="L198" s="160">
        <v>45292</v>
      </c>
      <c r="M198" s="136"/>
      <c r="N198" s="233"/>
      <c r="O198" s="75">
        <v>6.8075999999999999</v>
      </c>
      <c r="P198" s="75">
        <v>170.19</v>
      </c>
      <c r="Q198" s="75">
        <v>170.19</v>
      </c>
    </row>
    <row r="199" spans="1:17" s="132" customFormat="1">
      <c r="A199" s="512"/>
      <c r="B199" s="203"/>
      <c r="C199" s="193" t="e">
        <f>VLOOKUP(B199,'Tarifa 2025'!$B$103:$C$377,2,)</f>
        <v>#N/A</v>
      </c>
      <c r="D199" s="207">
        <v>1</v>
      </c>
      <c r="E199" s="207"/>
      <c r="F199" s="208">
        <v>25</v>
      </c>
      <c r="G199" s="207" t="s">
        <v>141</v>
      </c>
      <c r="H199" s="207" t="s">
        <v>98</v>
      </c>
      <c r="I199" s="207" t="s">
        <v>354</v>
      </c>
      <c r="J199" s="204"/>
      <c r="K199" s="169">
        <v>0</v>
      </c>
      <c r="L199" s="160">
        <v>45292</v>
      </c>
      <c r="M199" s="140"/>
      <c r="N199" s="233"/>
      <c r="O199" s="75" t="e">
        <v>#N/A</v>
      </c>
      <c r="P199" s="75" t="e">
        <v>#N/A</v>
      </c>
      <c r="Q199" s="75" t="e">
        <v>#N/A</v>
      </c>
    </row>
    <row r="200" spans="1:17">
      <c r="A200" s="512"/>
      <c r="B200" s="203" t="s">
        <v>650</v>
      </c>
      <c r="C200" s="193">
        <f>VLOOKUP(B200,'Tarifa 2025'!$B$103:$C$377,2,)</f>
        <v>7.8096000000000005</v>
      </c>
      <c r="D200" s="207">
        <v>1</v>
      </c>
      <c r="E200" s="207"/>
      <c r="F200" s="208">
        <v>25</v>
      </c>
      <c r="G200" s="207" t="s">
        <v>141</v>
      </c>
      <c r="H200" s="207" t="s">
        <v>98</v>
      </c>
      <c r="I200" s="207" t="s">
        <v>354</v>
      </c>
      <c r="J200" s="204">
        <v>195.24</v>
      </c>
      <c r="K200" s="55">
        <v>195.24</v>
      </c>
      <c r="L200" s="160">
        <v>45292</v>
      </c>
      <c r="M200" s="136"/>
      <c r="N200" s="234"/>
      <c r="O200" s="75">
        <v>7.5515999999999996</v>
      </c>
      <c r="P200" s="75">
        <v>188.79</v>
      </c>
      <c r="Q200" s="75">
        <v>188.79</v>
      </c>
    </row>
    <row r="201" spans="1:17" s="132" customFormat="1">
      <c r="A201" s="512"/>
      <c r="B201" s="203"/>
      <c r="C201" s="193" t="e">
        <f>VLOOKUP(B201,'Tarifa 2025'!$B$103:$C$377,2,)</f>
        <v>#N/A</v>
      </c>
      <c r="D201" s="207">
        <v>1</v>
      </c>
      <c r="E201" s="207"/>
      <c r="F201" s="208">
        <v>25</v>
      </c>
      <c r="G201" s="207" t="s">
        <v>141</v>
      </c>
      <c r="H201" s="207" t="s">
        <v>98</v>
      </c>
      <c r="I201" s="207" t="s">
        <v>354</v>
      </c>
      <c r="J201" s="204"/>
      <c r="K201" s="233">
        <v>0</v>
      </c>
      <c r="L201" s="160">
        <v>45292</v>
      </c>
      <c r="M201" s="140"/>
      <c r="N201" s="234"/>
      <c r="O201" s="75" t="e">
        <v>#N/A</v>
      </c>
      <c r="P201" s="75" t="e">
        <v>#N/A</v>
      </c>
      <c r="Q201" s="75" t="e">
        <v>#N/A</v>
      </c>
    </row>
    <row r="202" spans="1:17">
      <c r="A202" s="512"/>
      <c r="B202" s="203" t="s">
        <v>651</v>
      </c>
      <c r="C202" s="193">
        <f>VLOOKUP(B202,'Tarifa 2025'!$B$103:$C$377,2,)</f>
        <v>10.2948</v>
      </c>
      <c r="D202" s="207">
        <v>1</v>
      </c>
      <c r="E202" s="207"/>
      <c r="F202" s="208">
        <v>25</v>
      </c>
      <c r="G202" s="207" t="s">
        <v>141</v>
      </c>
      <c r="H202" s="207" t="s">
        <v>98</v>
      </c>
      <c r="I202" s="207" t="s">
        <v>354</v>
      </c>
      <c r="J202" s="204">
        <v>257.37</v>
      </c>
      <c r="K202" s="233">
        <v>257.37</v>
      </c>
      <c r="L202" s="160">
        <v>45292</v>
      </c>
      <c r="M202" s="136"/>
      <c r="N202" s="234"/>
      <c r="O202" s="75">
        <v>10.053599999999999</v>
      </c>
      <c r="P202" s="75">
        <v>251.34</v>
      </c>
      <c r="Q202" s="75">
        <v>251.34</v>
      </c>
    </row>
    <row r="203" spans="1:17" s="132" customFormat="1">
      <c r="A203" s="512"/>
      <c r="B203" s="203"/>
      <c r="C203" s="193" t="e">
        <f>VLOOKUP(B203,'Tarifa 2025'!$B$103:$C$377,2,)</f>
        <v>#N/A</v>
      </c>
      <c r="D203" s="207">
        <v>1</v>
      </c>
      <c r="E203" s="207"/>
      <c r="F203" s="208">
        <v>15</v>
      </c>
      <c r="G203" s="207" t="s">
        <v>141</v>
      </c>
      <c r="H203" s="207" t="s">
        <v>98</v>
      </c>
      <c r="I203" s="207" t="s">
        <v>354</v>
      </c>
      <c r="J203" s="204"/>
      <c r="K203" s="234">
        <v>0</v>
      </c>
      <c r="L203" s="160">
        <v>45292</v>
      </c>
      <c r="M203" s="140"/>
      <c r="N203" s="234"/>
      <c r="O203" s="75" t="e">
        <v>#N/A</v>
      </c>
      <c r="P203" s="75" t="e">
        <v>#N/A</v>
      </c>
      <c r="Q203" s="75" t="e">
        <v>#N/A</v>
      </c>
    </row>
    <row r="204" spans="1:17">
      <c r="A204" s="512"/>
      <c r="B204" s="203" t="s">
        <v>652</v>
      </c>
      <c r="C204" s="193">
        <f>VLOOKUP(B204,'Tarifa 2025'!$B$103:$C$377,2,)</f>
        <v>11.889999999999999</v>
      </c>
      <c r="D204" s="207">
        <v>1</v>
      </c>
      <c r="E204" s="207"/>
      <c r="F204" s="208">
        <v>15</v>
      </c>
      <c r="G204" s="207" t="s">
        <v>141</v>
      </c>
      <c r="H204" s="207" t="s">
        <v>98</v>
      </c>
      <c r="I204" s="207" t="s">
        <v>354</v>
      </c>
      <c r="J204" s="204">
        <v>178.35</v>
      </c>
      <c r="K204" s="234">
        <v>178.35</v>
      </c>
      <c r="L204" s="160">
        <v>45292</v>
      </c>
      <c r="M204" s="136"/>
      <c r="N204" s="234"/>
      <c r="O204" s="75">
        <v>11.597333333333333</v>
      </c>
      <c r="P204" s="75">
        <v>173.96</v>
      </c>
      <c r="Q204" s="75">
        <v>173.96</v>
      </c>
    </row>
    <row r="205" spans="1:17" s="132" customFormat="1">
      <c r="A205" s="512"/>
      <c r="B205" s="203"/>
      <c r="C205" s="193" t="e">
        <f>VLOOKUP(B205,'Tarifa 2025'!$B$103:$C$377,2,)</f>
        <v>#N/A</v>
      </c>
      <c r="D205" s="207">
        <v>1</v>
      </c>
      <c r="E205" s="207"/>
      <c r="F205" s="208">
        <v>15</v>
      </c>
      <c r="G205" s="207" t="s">
        <v>141</v>
      </c>
      <c r="H205" s="207" t="s">
        <v>98</v>
      </c>
      <c r="I205" s="207" t="s">
        <v>354</v>
      </c>
      <c r="J205" s="204"/>
      <c r="K205" s="234">
        <v>0</v>
      </c>
      <c r="L205" s="160">
        <v>45292</v>
      </c>
      <c r="M205" s="140"/>
      <c r="N205" s="234"/>
      <c r="O205" s="75" t="e">
        <v>#N/A</v>
      </c>
      <c r="P205" s="75" t="e">
        <v>#N/A</v>
      </c>
      <c r="Q205" s="75" t="e">
        <v>#N/A</v>
      </c>
    </row>
    <row r="206" spans="1:17">
      <c r="A206" s="512"/>
      <c r="B206" s="203" t="s">
        <v>653</v>
      </c>
      <c r="C206" s="193">
        <f>VLOOKUP(B206,'Tarifa 2025'!$B$103:$C$377,2,)</f>
        <v>13.110000000000001</v>
      </c>
      <c r="D206" s="207">
        <v>1</v>
      </c>
      <c r="E206" s="207"/>
      <c r="F206" s="208">
        <v>15</v>
      </c>
      <c r="G206" s="207" t="s">
        <v>141</v>
      </c>
      <c r="H206" s="207" t="s">
        <v>98</v>
      </c>
      <c r="I206" s="207" t="s">
        <v>354</v>
      </c>
      <c r="J206" s="204">
        <v>196.65</v>
      </c>
      <c r="K206" s="234">
        <v>196.65</v>
      </c>
      <c r="L206" s="160">
        <v>45292</v>
      </c>
      <c r="M206" s="136"/>
      <c r="N206" s="234"/>
      <c r="O206" s="75">
        <v>12.764666666666667</v>
      </c>
      <c r="P206" s="75">
        <v>191.47</v>
      </c>
      <c r="Q206" s="75">
        <v>191.47</v>
      </c>
    </row>
    <row r="207" spans="1:17" s="132" customFormat="1">
      <c r="A207" s="512"/>
      <c r="B207" s="203"/>
      <c r="C207" s="193" t="e">
        <f>VLOOKUP(B207,'Tarifa 2025'!$B$103:$C$377,2,)</f>
        <v>#N/A</v>
      </c>
      <c r="D207" s="207">
        <v>1</v>
      </c>
      <c r="E207" s="207"/>
      <c r="F207" s="208">
        <v>15</v>
      </c>
      <c r="G207" s="207" t="s">
        <v>141</v>
      </c>
      <c r="H207" s="207" t="s">
        <v>98</v>
      </c>
      <c r="I207" s="207" t="s">
        <v>354</v>
      </c>
      <c r="J207" s="204"/>
      <c r="K207" s="234">
        <v>0</v>
      </c>
      <c r="L207" s="160">
        <v>45292</v>
      </c>
      <c r="M207" s="140"/>
      <c r="N207" s="234"/>
      <c r="O207" s="75" t="e">
        <v>#N/A</v>
      </c>
      <c r="P207" s="75" t="e">
        <v>#N/A</v>
      </c>
      <c r="Q207" s="75" t="e">
        <v>#N/A</v>
      </c>
    </row>
    <row r="208" spans="1:17">
      <c r="A208" s="512"/>
      <c r="B208" s="203" t="s">
        <v>654</v>
      </c>
      <c r="C208" s="193">
        <f>VLOOKUP(B208,'Tarifa 2025'!$B$103:$C$377,2,)</f>
        <v>19.43933333333333</v>
      </c>
      <c r="D208" s="207">
        <v>1</v>
      </c>
      <c r="E208" s="207"/>
      <c r="F208" s="208">
        <v>15</v>
      </c>
      <c r="G208" s="207" t="s">
        <v>141</v>
      </c>
      <c r="H208" s="207" t="s">
        <v>98</v>
      </c>
      <c r="I208" s="207" t="s">
        <v>354</v>
      </c>
      <c r="J208" s="204">
        <v>291.58999999999997</v>
      </c>
      <c r="K208" s="234">
        <v>291.58999999999997</v>
      </c>
      <c r="L208" s="160">
        <v>45292</v>
      </c>
      <c r="M208" s="136"/>
      <c r="N208" s="234"/>
      <c r="O208" s="75">
        <v>14.45</v>
      </c>
      <c r="P208" s="75">
        <v>216.75</v>
      </c>
      <c r="Q208" s="75">
        <v>216.75</v>
      </c>
    </row>
    <row r="209" spans="1:17" s="132" customFormat="1">
      <c r="A209" s="512"/>
      <c r="B209" s="203"/>
      <c r="C209" s="193" t="e">
        <f>VLOOKUP(B209,'Tarifa 2025'!$B$103:$C$377,2,)</f>
        <v>#N/A</v>
      </c>
      <c r="D209" s="207">
        <v>1</v>
      </c>
      <c r="E209" s="207"/>
      <c r="F209" s="208">
        <v>15</v>
      </c>
      <c r="G209" s="207" t="s">
        <v>141</v>
      </c>
      <c r="H209" s="207" t="s">
        <v>98</v>
      </c>
      <c r="I209" s="207" t="s">
        <v>354</v>
      </c>
      <c r="J209" s="204"/>
      <c r="K209" s="234">
        <v>0</v>
      </c>
      <c r="L209" s="160">
        <v>45292</v>
      </c>
      <c r="M209" s="140"/>
      <c r="N209" s="234"/>
      <c r="O209" s="75" t="e">
        <v>#N/A</v>
      </c>
      <c r="P209" s="75" t="e">
        <v>#N/A</v>
      </c>
      <c r="Q209" s="75" t="e">
        <v>#N/A</v>
      </c>
    </row>
    <row r="210" spans="1:17">
      <c r="A210" s="512"/>
      <c r="B210" s="203" t="s">
        <v>655</v>
      </c>
      <c r="C210" s="193">
        <f>VLOOKUP(B210,'Tarifa 2025'!$B$103:$C$377,2,)</f>
        <v>19.239333333333331</v>
      </c>
      <c r="D210" s="207">
        <v>1</v>
      </c>
      <c r="E210" s="207"/>
      <c r="F210" s="208">
        <v>15</v>
      </c>
      <c r="G210" s="207" t="s">
        <v>141</v>
      </c>
      <c r="H210" s="207" t="s">
        <v>98</v>
      </c>
      <c r="I210" s="207" t="s">
        <v>354</v>
      </c>
      <c r="J210" s="204">
        <v>288.58999999999997</v>
      </c>
      <c r="K210" s="234">
        <v>288.58999999999997</v>
      </c>
      <c r="L210" s="160">
        <v>45292</v>
      </c>
      <c r="M210" s="136"/>
      <c r="O210" s="75">
        <v>18.77</v>
      </c>
      <c r="P210" s="75">
        <v>281.55</v>
      </c>
      <c r="Q210" s="75">
        <v>281.55</v>
      </c>
    </row>
    <row r="211" spans="1:17" s="132" customFormat="1">
      <c r="A211" s="512"/>
      <c r="B211" s="203"/>
      <c r="C211" s="193" t="e">
        <f>VLOOKUP(B211,'Tarifa 2025'!$B$103:$C$377,2,)</f>
        <v>#N/A</v>
      </c>
      <c r="D211" s="207">
        <v>1</v>
      </c>
      <c r="E211" s="207"/>
      <c r="F211" s="208">
        <v>15</v>
      </c>
      <c r="G211" s="207" t="s">
        <v>141</v>
      </c>
      <c r="H211" s="207" t="s">
        <v>98</v>
      </c>
      <c r="I211" s="207" t="s">
        <v>354</v>
      </c>
      <c r="J211" s="204"/>
      <c r="K211" s="234">
        <v>0</v>
      </c>
      <c r="L211" s="160">
        <v>45292</v>
      </c>
      <c r="M211" s="140"/>
      <c r="O211" s="75" t="e">
        <v>#N/A</v>
      </c>
      <c r="P211" s="75" t="e">
        <v>#N/A</v>
      </c>
      <c r="Q211" s="75" t="e">
        <v>#N/A</v>
      </c>
    </row>
    <row r="212" spans="1:17">
      <c r="A212" s="512"/>
      <c r="B212" s="203" t="s">
        <v>656</v>
      </c>
      <c r="C212" s="193">
        <f>VLOOKUP(B212,'Tarifa 2025'!$B$103:$C$377,2,)</f>
        <v>24.083333333333332</v>
      </c>
      <c r="D212" s="207">
        <v>1</v>
      </c>
      <c r="E212" s="207"/>
      <c r="F212" s="208">
        <v>15</v>
      </c>
      <c r="G212" s="207" t="s">
        <v>141</v>
      </c>
      <c r="H212" s="207" t="s">
        <v>98</v>
      </c>
      <c r="I212" s="207" t="s">
        <v>354</v>
      </c>
      <c r="J212" s="204">
        <v>361.25</v>
      </c>
      <c r="K212" s="234">
        <v>361.25</v>
      </c>
      <c r="L212" s="160">
        <v>45292</v>
      </c>
      <c r="M212" s="136"/>
      <c r="O212" s="75">
        <v>23.512</v>
      </c>
      <c r="P212" s="75">
        <v>352.68</v>
      </c>
      <c r="Q212" s="75">
        <v>352.68</v>
      </c>
    </row>
    <row r="213" spans="1:17">
      <c r="A213" s="512"/>
      <c r="B213" s="203" t="s">
        <v>657</v>
      </c>
      <c r="C213" s="193">
        <f>VLOOKUP(B213,'Tarifa 2025'!$B$103:$C$377,2,)</f>
        <v>14.787666666666667</v>
      </c>
      <c r="D213" s="207">
        <v>1</v>
      </c>
      <c r="E213" s="207"/>
      <c r="F213" s="208">
        <v>30</v>
      </c>
      <c r="G213" s="207" t="s">
        <v>141</v>
      </c>
      <c r="H213" s="207" t="s">
        <v>98</v>
      </c>
      <c r="I213" s="207" t="s">
        <v>354</v>
      </c>
      <c r="J213" s="204">
        <v>443.63</v>
      </c>
      <c r="K213" s="205">
        <v>443.63</v>
      </c>
      <c r="L213" s="160">
        <v>45292</v>
      </c>
      <c r="M213" s="136"/>
      <c r="O213" s="75">
        <v>14.409666666666668</v>
      </c>
      <c r="P213" s="75">
        <v>432.29</v>
      </c>
      <c r="Q213" s="75">
        <v>432.29</v>
      </c>
    </row>
    <row r="214" spans="1:17">
      <c r="A214" s="512"/>
      <c r="B214" s="203" t="s">
        <v>658</v>
      </c>
      <c r="C214" s="193">
        <f>VLOOKUP(B214,'Tarifa 2025'!$B$103:$C$377,2,)</f>
        <v>11.628333333333334</v>
      </c>
      <c r="D214" s="207">
        <v>1</v>
      </c>
      <c r="E214" s="207"/>
      <c r="F214" s="208">
        <v>30</v>
      </c>
      <c r="G214" s="207" t="s">
        <v>141</v>
      </c>
      <c r="H214" s="207" t="s">
        <v>98</v>
      </c>
      <c r="I214" s="207" t="s">
        <v>351</v>
      </c>
      <c r="J214" s="204">
        <v>348.85</v>
      </c>
      <c r="K214" s="205">
        <v>348.85</v>
      </c>
      <c r="L214" s="160">
        <v>45292</v>
      </c>
      <c r="M214" s="136"/>
      <c r="O214" s="75">
        <v>11.33</v>
      </c>
      <c r="P214" s="75">
        <v>339.9</v>
      </c>
      <c r="Q214" s="75">
        <v>339.9</v>
      </c>
    </row>
    <row r="215" spans="1:17">
      <c r="A215" s="512"/>
      <c r="B215" s="119" t="s">
        <v>359</v>
      </c>
      <c r="C215" s="193" t="str">
        <f>VLOOKUP(B215,'Tarifa 2025'!$B$103:$C$377,2,)</f>
        <v>-</v>
      </c>
      <c r="D215" s="120" t="s">
        <v>98</v>
      </c>
      <c r="E215" s="120"/>
      <c r="F215" s="121" t="s">
        <v>98</v>
      </c>
      <c r="G215" s="120" t="s">
        <v>98</v>
      </c>
      <c r="H215" s="120" t="s">
        <v>98</v>
      </c>
      <c r="I215" s="120" t="s">
        <v>98</v>
      </c>
      <c r="J215" s="204" t="s">
        <v>98</v>
      </c>
      <c r="K215" s="120" t="s">
        <v>98</v>
      </c>
      <c r="L215" s="160">
        <v>45292</v>
      </c>
      <c r="M215" s="137"/>
      <c r="O215" s="75" t="s">
        <v>98</v>
      </c>
      <c r="P215" s="75" t="s">
        <v>98</v>
      </c>
      <c r="Q215" s="75" t="s">
        <v>98</v>
      </c>
    </row>
    <row r="216" spans="1:17">
      <c r="A216" s="512"/>
      <c r="B216" s="203" t="s">
        <v>659</v>
      </c>
      <c r="C216" s="193">
        <f>VLOOKUP(B216,'Tarifa 2025'!$B$103:$C$377,2,)</f>
        <v>17.837599999999998</v>
      </c>
      <c r="D216" s="207">
        <v>1</v>
      </c>
      <c r="E216" s="207"/>
      <c r="F216" s="208">
        <v>25</v>
      </c>
      <c r="G216" s="207" t="s">
        <v>141</v>
      </c>
      <c r="H216" s="207" t="s">
        <v>98</v>
      </c>
      <c r="I216" s="207" t="s">
        <v>351</v>
      </c>
      <c r="J216" s="204">
        <v>445.94</v>
      </c>
      <c r="K216" s="204">
        <v>445.94</v>
      </c>
      <c r="L216" s="160">
        <v>45292</v>
      </c>
      <c r="M216" s="136"/>
      <c r="O216" s="75">
        <v>17.3964</v>
      </c>
      <c r="P216" s="75">
        <v>434.91</v>
      </c>
      <c r="Q216" s="75">
        <v>434.91</v>
      </c>
    </row>
    <row r="217" spans="1:17">
      <c r="A217" s="512"/>
      <c r="B217" s="203" t="s">
        <v>660</v>
      </c>
      <c r="C217" s="193">
        <f>VLOOKUP(B217,'Tarifa 2025'!$B$103:$C$377,2,)</f>
        <v>17.837599999999998</v>
      </c>
      <c r="D217" s="207">
        <v>1</v>
      </c>
      <c r="E217" s="207"/>
      <c r="F217" s="208">
        <v>25</v>
      </c>
      <c r="G217" s="207" t="s">
        <v>141</v>
      </c>
      <c r="H217" s="207" t="s">
        <v>98</v>
      </c>
      <c r="I217" s="207" t="s">
        <v>351</v>
      </c>
      <c r="J217" s="204">
        <v>445.94</v>
      </c>
      <c r="K217" s="204">
        <v>445.94</v>
      </c>
      <c r="L217" s="160">
        <v>45292</v>
      </c>
      <c r="M217" s="136"/>
      <c r="O217" s="75">
        <v>17.3964</v>
      </c>
      <c r="P217" s="75">
        <v>434.91</v>
      </c>
      <c r="Q217" s="75">
        <v>434.91</v>
      </c>
    </row>
    <row r="218" spans="1:17">
      <c r="A218" s="512"/>
      <c r="B218" s="203" t="s">
        <v>661</v>
      </c>
      <c r="C218" s="193">
        <f>VLOOKUP(B218,'Tarifa 2025'!$B$103:$C$377,2,)</f>
        <v>21.135200000000001</v>
      </c>
      <c r="D218" s="207">
        <v>1</v>
      </c>
      <c r="E218" s="207"/>
      <c r="F218" s="208">
        <v>25</v>
      </c>
      <c r="G218" s="207" t="s">
        <v>141</v>
      </c>
      <c r="H218" s="207" t="s">
        <v>98</v>
      </c>
      <c r="I218" s="207" t="s">
        <v>351</v>
      </c>
      <c r="J218" s="204">
        <v>528.38</v>
      </c>
      <c r="K218" s="204">
        <v>528.38</v>
      </c>
      <c r="L218" s="160">
        <v>45292</v>
      </c>
      <c r="M218" s="136"/>
      <c r="O218" s="75">
        <v>20.6112</v>
      </c>
      <c r="P218" s="75">
        <v>515.28</v>
      </c>
      <c r="Q218" s="75">
        <v>515.28</v>
      </c>
    </row>
    <row r="219" spans="1:17">
      <c r="A219" s="512"/>
      <c r="B219" s="203" t="s">
        <v>662</v>
      </c>
      <c r="C219" s="193">
        <f>VLOOKUP(B219,'Tarifa 2025'!$B$103:$C$377,2,)</f>
        <v>21.135200000000001</v>
      </c>
      <c r="D219" s="207">
        <v>1</v>
      </c>
      <c r="E219" s="207"/>
      <c r="F219" s="208">
        <v>25</v>
      </c>
      <c r="G219" s="207" t="s">
        <v>141</v>
      </c>
      <c r="H219" s="207" t="s">
        <v>98</v>
      </c>
      <c r="I219" s="207" t="s">
        <v>351</v>
      </c>
      <c r="J219" s="204">
        <v>528.38</v>
      </c>
      <c r="K219" s="204">
        <v>528.38</v>
      </c>
      <c r="L219" s="160">
        <v>45292</v>
      </c>
      <c r="M219" s="136"/>
      <c r="O219" s="75">
        <v>20.6112</v>
      </c>
      <c r="P219" s="75">
        <v>515.28</v>
      </c>
      <c r="Q219" s="75">
        <v>515.28</v>
      </c>
    </row>
    <row r="220" spans="1:17">
      <c r="A220" s="512"/>
      <c r="B220" s="203" t="s">
        <v>663</v>
      </c>
      <c r="C220" s="193">
        <f>VLOOKUP(B220,'Tarifa 2025'!$B$103:$C$377,2,)</f>
        <v>6.3170666666666664</v>
      </c>
      <c r="D220" s="207">
        <v>1</v>
      </c>
      <c r="E220" s="207"/>
      <c r="F220" s="208">
        <v>37.5</v>
      </c>
      <c r="G220" s="207" t="s">
        <v>141</v>
      </c>
      <c r="H220" s="207" t="s">
        <v>98</v>
      </c>
      <c r="I220" s="207" t="s">
        <v>351</v>
      </c>
      <c r="J220" s="204">
        <v>236.89</v>
      </c>
      <c r="K220" s="204">
        <v>236.89</v>
      </c>
      <c r="L220" s="160">
        <v>45292</v>
      </c>
      <c r="M220" s="136"/>
      <c r="O220" s="75">
        <v>6.1349333333333336</v>
      </c>
      <c r="P220" s="75">
        <v>230.06</v>
      </c>
      <c r="Q220" s="75">
        <v>230.06</v>
      </c>
    </row>
    <row r="221" spans="1:17">
      <c r="A221" s="512"/>
      <c r="B221" s="203" t="s">
        <v>664</v>
      </c>
      <c r="C221" s="193">
        <f>VLOOKUP(B221,'Tarifa 2025'!$B$103:$C$377,2,)</f>
        <v>1.98072</v>
      </c>
      <c r="D221" s="207">
        <v>1</v>
      </c>
      <c r="E221" s="207"/>
      <c r="F221" s="208">
        <v>125</v>
      </c>
      <c r="G221" s="207" t="s">
        <v>141</v>
      </c>
      <c r="H221" s="207" t="s">
        <v>98</v>
      </c>
      <c r="I221" s="207" t="s">
        <v>351</v>
      </c>
      <c r="J221" s="204">
        <v>247.59</v>
      </c>
      <c r="K221" s="204">
        <v>247.59</v>
      </c>
      <c r="L221" s="160">
        <v>45292</v>
      </c>
      <c r="M221" s="136"/>
      <c r="O221" s="75">
        <v>1.9292799999999999</v>
      </c>
      <c r="P221" s="75">
        <v>241.16</v>
      </c>
      <c r="Q221" s="75">
        <v>241.16</v>
      </c>
    </row>
    <row r="222" spans="1:17">
      <c r="A222" s="512"/>
      <c r="B222" s="203" t="s">
        <v>665</v>
      </c>
      <c r="C222" s="193">
        <f>VLOOKUP(B222,'Tarifa 2025'!$B$103:$C$377,2,)</f>
        <v>4.9984000000000002</v>
      </c>
      <c r="D222" s="207">
        <v>1</v>
      </c>
      <c r="E222" s="207"/>
      <c r="F222" s="208">
        <v>50</v>
      </c>
      <c r="G222" s="207" t="s">
        <v>141</v>
      </c>
      <c r="H222" s="207" t="s">
        <v>98</v>
      </c>
      <c r="I222" s="207" t="s">
        <v>351</v>
      </c>
      <c r="J222" s="204">
        <v>249.92</v>
      </c>
      <c r="K222" s="204">
        <v>249.92</v>
      </c>
      <c r="L222" s="160">
        <v>45292</v>
      </c>
      <c r="M222" s="136"/>
      <c r="O222" s="75">
        <v>4.8685999999999998</v>
      </c>
      <c r="P222" s="75">
        <v>243.43</v>
      </c>
      <c r="Q222" s="75">
        <v>243.43</v>
      </c>
    </row>
    <row r="223" spans="1:17">
      <c r="A223" s="512"/>
      <c r="B223" s="203" t="s">
        <v>666</v>
      </c>
      <c r="C223" s="193">
        <f>VLOOKUP(B223,'Tarifa 2025'!$B$103:$C$377,2,)</f>
        <v>7.8541999999999996</v>
      </c>
      <c r="D223" s="207">
        <v>1</v>
      </c>
      <c r="E223" s="207"/>
      <c r="F223" s="208">
        <v>62.5</v>
      </c>
      <c r="G223" s="207" t="s">
        <v>141</v>
      </c>
      <c r="H223" s="207" t="s">
        <v>98</v>
      </c>
      <c r="I223" s="207" t="s">
        <v>351</v>
      </c>
      <c r="J223" s="204">
        <v>392.71</v>
      </c>
      <c r="K223" s="204">
        <v>392.71</v>
      </c>
      <c r="L223" s="160">
        <v>45292</v>
      </c>
      <c r="M223" s="136"/>
      <c r="O223" s="75">
        <v>7.6571199999999999</v>
      </c>
      <c r="P223" s="75">
        <v>478.57</v>
      </c>
      <c r="Q223" s="75">
        <v>478.57</v>
      </c>
    </row>
    <row r="224" spans="1:17">
      <c r="A224" s="512"/>
      <c r="B224" s="203" t="s">
        <v>667</v>
      </c>
      <c r="C224" s="193">
        <f>VLOOKUP(B224,'Tarifa 2025'!$B$103:$C$377,2,)</f>
        <v>11.403040000000001</v>
      </c>
      <c r="D224" s="207">
        <v>1</v>
      </c>
      <c r="E224" s="207"/>
      <c r="F224" s="208">
        <v>62.5</v>
      </c>
      <c r="G224" s="207" t="s">
        <v>141</v>
      </c>
      <c r="H224" s="207" t="s">
        <v>98</v>
      </c>
      <c r="I224" s="207" t="s">
        <v>351</v>
      </c>
      <c r="J224" s="204">
        <v>712.69</v>
      </c>
      <c r="K224" s="204">
        <v>712.69</v>
      </c>
      <c r="L224" s="160">
        <v>45292</v>
      </c>
      <c r="M224" s="136"/>
      <c r="O224" s="75">
        <v>11.124000000000001</v>
      </c>
      <c r="P224" s="75">
        <v>695.25</v>
      </c>
      <c r="Q224" s="75">
        <v>695.25</v>
      </c>
    </row>
    <row r="225" spans="1:17">
      <c r="A225" s="512"/>
      <c r="B225" s="203" t="s">
        <v>668</v>
      </c>
      <c r="C225" s="193" t="e">
        <f>VLOOKUP(B225,'Tarifa 2025'!$B$103:$C$377,2,)</f>
        <v>#N/A</v>
      </c>
      <c r="D225" s="207">
        <v>1</v>
      </c>
      <c r="E225" s="207"/>
      <c r="F225" s="208">
        <v>27.5</v>
      </c>
      <c r="G225" s="207" t="s">
        <v>141</v>
      </c>
      <c r="H225" s="207" t="s">
        <v>98</v>
      </c>
      <c r="I225" s="207" t="s">
        <v>351</v>
      </c>
      <c r="J225" s="204">
        <v>892.57</v>
      </c>
      <c r="K225" s="204">
        <v>892.57</v>
      </c>
      <c r="L225" s="160">
        <v>45292</v>
      </c>
      <c r="M225" s="136"/>
      <c r="O225" s="75" t="e">
        <v>#N/A</v>
      </c>
      <c r="P225" s="75" t="e">
        <v>#N/A</v>
      </c>
      <c r="Q225" s="75" t="e">
        <v>#N/A</v>
      </c>
    </row>
    <row r="226" spans="1:17">
      <c r="A226" s="512"/>
      <c r="B226" s="203" t="s">
        <v>669</v>
      </c>
      <c r="C226" s="193">
        <f>VLOOKUP(B226,'Tarifa 2025'!$B$103:$C$377,2,)</f>
        <v>27.272399999999998</v>
      </c>
      <c r="D226" s="207">
        <v>1</v>
      </c>
      <c r="E226" s="207"/>
      <c r="F226" s="208">
        <v>10</v>
      </c>
      <c r="G226" s="207" t="s">
        <v>141</v>
      </c>
      <c r="H226" s="207" t="s">
        <v>98</v>
      </c>
      <c r="I226" s="207" t="s">
        <v>351</v>
      </c>
      <c r="J226" s="204">
        <v>681.81</v>
      </c>
      <c r="K226" s="204">
        <v>681.81</v>
      </c>
      <c r="L226" s="160">
        <v>45292</v>
      </c>
      <c r="M226" s="141"/>
      <c r="O226" s="75">
        <v>26.5564</v>
      </c>
      <c r="P226" s="75">
        <v>663.91</v>
      </c>
      <c r="Q226" s="75">
        <v>663.91</v>
      </c>
    </row>
    <row r="227" spans="1:17">
      <c r="A227" s="512"/>
      <c r="B227" s="203" t="s">
        <v>670</v>
      </c>
      <c r="C227" s="193">
        <f>VLOOKUP(B227,'Tarifa 2025'!$B$103:$C$377,2,)</f>
        <v>4.6537500000000005</v>
      </c>
      <c r="D227" s="207">
        <v>1</v>
      </c>
      <c r="E227" s="207"/>
      <c r="F227" s="208">
        <v>40</v>
      </c>
      <c r="G227" s="207" t="s">
        <v>141</v>
      </c>
      <c r="H227" s="207" t="s">
        <v>98</v>
      </c>
      <c r="I227" s="207" t="s">
        <v>351</v>
      </c>
      <c r="J227" s="204">
        <v>186.15</v>
      </c>
      <c r="K227" s="204">
        <v>186.15</v>
      </c>
      <c r="L227" s="160">
        <v>45292</v>
      </c>
      <c r="M227" s="136"/>
      <c r="O227" s="75">
        <v>4.5525000000000002</v>
      </c>
      <c r="P227" s="75">
        <v>182.1</v>
      </c>
      <c r="Q227" s="75">
        <v>182.1</v>
      </c>
    </row>
    <row r="228" spans="1:17">
      <c r="A228" s="512"/>
      <c r="B228" s="203" t="s">
        <v>671</v>
      </c>
      <c r="C228" s="193">
        <f>VLOOKUP(B228,'Tarifa 2025'!$B$103:$C$377,2,)</f>
        <v>5.0953076923076921</v>
      </c>
      <c r="D228" s="207">
        <v>1</v>
      </c>
      <c r="E228" s="207"/>
      <c r="F228" s="208">
        <v>130</v>
      </c>
      <c r="G228" s="207" t="s">
        <v>141</v>
      </c>
      <c r="H228" s="207" t="s">
        <v>98</v>
      </c>
      <c r="I228" s="207" t="s">
        <v>351</v>
      </c>
      <c r="J228" s="204">
        <v>662.39</v>
      </c>
      <c r="K228" s="204">
        <v>662.39</v>
      </c>
      <c r="L228" s="160">
        <v>45292</v>
      </c>
      <c r="M228" s="136"/>
      <c r="O228" s="75">
        <v>4.9588461538461539</v>
      </c>
      <c r="P228" s="75">
        <v>644.65</v>
      </c>
      <c r="Q228" s="75">
        <v>644.65</v>
      </c>
    </row>
    <row r="229" spans="1:17">
      <c r="A229" s="512"/>
      <c r="B229" s="203" t="s">
        <v>672</v>
      </c>
      <c r="C229" s="193">
        <f>VLOOKUP(B229,'Tarifa 2025'!$B$103:$C$377,2,)</f>
        <v>5.1072799999999994</v>
      </c>
      <c r="D229" s="207">
        <v>1</v>
      </c>
      <c r="E229" s="207"/>
      <c r="F229" s="208">
        <v>125</v>
      </c>
      <c r="G229" s="207" t="s">
        <v>141</v>
      </c>
      <c r="H229" s="207" t="s">
        <v>98</v>
      </c>
      <c r="I229" s="207" t="s">
        <v>351</v>
      </c>
      <c r="J229" s="204">
        <v>638.41</v>
      </c>
      <c r="K229" s="204">
        <v>638.41</v>
      </c>
      <c r="L229" s="160">
        <v>45292</v>
      </c>
      <c r="M229" s="136"/>
      <c r="O229" s="75">
        <v>4.9740799999999998</v>
      </c>
      <c r="P229" s="75">
        <v>621.76</v>
      </c>
      <c r="Q229" s="75">
        <v>621.76</v>
      </c>
    </row>
    <row r="230" spans="1:17">
      <c r="A230" s="512"/>
      <c r="B230" s="110" t="s">
        <v>98</v>
      </c>
      <c r="C230" s="193">
        <f>VLOOKUP(B230,'Tarifa 2025'!$B$103:$C$377,2,)</f>
        <v>0</v>
      </c>
      <c r="D230" s="71" t="s">
        <v>98</v>
      </c>
      <c r="E230" s="71"/>
      <c r="F230" s="93" t="s">
        <v>98</v>
      </c>
      <c r="G230" s="71" t="s">
        <v>98</v>
      </c>
      <c r="H230" s="71" t="s">
        <v>98</v>
      </c>
      <c r="I230" s="71" t="s">
        <v>98</v>
      </c>
      <c r="J230" s="204" t="s">
        <v>98</v>
      </c>
      <c r="K230" s="71" t="s">
        <v>98</v>
      </c>
      <c r="L230" s="160">
        <v>45292</v>
      </c>
      <c r="M230" s="78"/>
      <c r="O230" s="75">
        <v>0</v>
      </c>
      <c r="P230" s="75">
        <v>0</v>
      </c>
      <c r="Q230" s="75">
        <v>0</v>
      </c>
    </row>
    <row r="231" spans="1:17">
      <c r="A231" s="512"/>
      <c r="B231" s="203" t="s">
        <v>673</v>
      </c>
      <c r="C231" s="193">
        <f>VLOOKUP(B231,'Tarifa 2025'!$B$103:$C$377,2,)</f>
        <v>11.150799999999998</v>
      </c>
      <c r="D231" s="207">
        <v>1</v>
      </c>
      <c r="E231" s="207"/>
      <c r="F231" s="208">
        <v>25</v>
      </c>
      <c r="G231" s="207" t="s">
        <v>141</v>
      </c>
      <c r="H231" s="207" t="s">
        <v>98</v>
      </c>
      <c r="I231" s="207" t="s">
        <v>351</v>
      </c>
      <c r="J231" s="204">
        <v>278.77</v>
      </c>
      <c r="K231" s="204">
        <v>278.77</v>
      </c>
      <c r="L231" s="160">
        <v>45292</v>
      </c>
      <c r="M231" s="136"/>
      <c r="O231" s="75">
        <v>10.873199999999999</v>
      </c>
      <c r="P231" s="75">
        <v>271.83</v>
      </c>
      <c r="Q231" s="75">
        <v>271.83</v>
      </c>
    </row>
    <row r="232" spans="1:17">
      <c r="A232" s="512"/>
      <c r="B232" s="203" t="s">
        <v>674</v>
      </c>
      <c r="C232" s="193">
        <f>VLOOKUP(B232,'Tarifa 2025'!$B$103:$C$377,2,)</f>
        <v>12.7668</v>
      </c>
      <c r="D232" s="207">
        <v>1</v>
      </c>
      <c r="E232" s="207"/>
      <c r="F232" s="208">
        <v>25</v>
      </c>
      <c r="G232" s="207" t="s">
        <v>141</v>
      </c>
      <c r="H232" s="207" t="s">
        <v>98</v>
      </c>
      <c r="I232" s="207" t="s">
        <v>351</v>
      </c>
      <c r="J232" s="204">
        <v>319.17</v>
      </c>
      <c r="K232" s="204">
        <v>319.17</v>
      </c>
      <c r="L232" s="160">
        <v>45292</v>
      </c>
      <c r="M232" s="136"/>
      <c r="O232" s="75">
        <v>12.480799999999999</v>
      </c>
      <c r="P232" s="75">
        <v>312.02</v>
      </c>
      <c r="Q232" s="75">
        <v>312.02</v>
      </c>
    </row>
    <row r="233" spans="1:17">
      <c r="A233" s="512"/>
      <c r="B233" s="203" t="s">
        <v>675</v>
      </c>
      <c r="C233" s="193">
        <f>VLOOKUP(B233,'Tarifa 2025'!$B$103:$C$377,2,)</f>
        <v>13.603199999999999</v>
      </c>
      <c r="D233" s="207">
        <v>1</v>
      </c>
      <c r="E233" s="207"/>
      <c r="F233" s="208">
        <v>25</v>
      </c>
      <c r="G233" s="207" t="s">
        <v>141</v>
      </c>
      <c r="H233" s="207" t="s">
        <v>98</v>
      </c>
      <c r="I233" s="207" t="s">
        <v>351</v>
      </c>
      <c r="J233" s="204">
        <v>340.08</v>
      </c>
      <c r="K233" s="204">
        <v>340.08</v>
      </c>
      <c r="L233" s="160">
        <v>45292</v>
      </c>
      <c r="M233" s="136"/>
      <c r="O233" s="75">
        <v>13.3</v>
      </c>
      <c r="P233" s="75">
        <v>332.5</v>
      </c>
      <c r="Q233" s="75">
        <v>332.5</v>
      </c>
    </row>
    <row r="234" spans="1:17">
      <c r="A234" s="512"/>
      <c r="B234" s="203" t="s">
        <v>676</v>
      </c>
      <c r="C234" s="193">
        <f>VLOOKUP(B234,'Tarifa 2025'!$B$103:$C$377,2,)</f>
        <v>15.308399999999999</v>
      </c>
      <c r="D234" s="207">
        <v>1</v>
      </c>
      <c r="E234" s="207"/>
      <c r="F234" s="208">
        <v>25</v>
      </c>
      <c r="G234" s="207" t="s">
        <v>141</v>
      </c>
      <c r="H234" s="207" t="s">
        <v>98</v>
      </c>
      <c r="I234" s="207" t="s">
        <v>351</v>
      </c>
      <c r="J234" s="204">
        <v>382.71</v>
      </c>
      <c r="K234" s="204">
        <v>382.71</v>
      </c>
      <c r="L234" s="160">
        <v>45292</v>
      </c>
      <c r="M234" s="136"/>
      <c r="O234" s="75">
        <v>14.9224</v>
      </c>
      <c r="P234" s="75">
        <v>373.06</v>
      </c>
      <c r="Q234" s="75">
        <v>373.06</v>
      </c>
    </row>
    <row r="235" spans="1:17">
      <c r="C235" s="193" t="e">
        <f>VLOOKUP(B235,'Tarifa 2025'!$B$103:$C$377,2,)</f>
        <v>#N/A</v>
      </c>
      <c r="J235" s="204"/>
      <c r="L235" s="160">
        <v>45292</v>
      </c>
      <c r="M235" s="78"/>
      <c r="O235" s="75" t="e">
        <v>#N/A</v>
      </c>
      <c r="P235" s="75" t="e">
        <v>#N/A</v>
      </c>
      <c r="Q235" s="75" t="e">
        <v>#N/A</v>
      </c>
    </row>
    <row r="236" spans="1:17">
      <c r="A236" s="511" t="s">
        <v>312</v>
      </c>
      <c r="B236" s="188" t="s">
        <v>844</v>
      </c>
      <c r="C236" s="193" t="e">
        <f>VLOOKUP(B236,'Tarifa 2025'!$B$103:$C$377,2,)</f>
        <v>#N/A</v>
      </c>
      <c r="D236" s="190">
        <f>1.25*2.5</f>
        <v>3.125</v>
      </c>
      <c r="E236" s="190"/>
      <c r="F236" s="191">
        <v>15</v>
      </c>
      <c r="G236" s="190" t="s">
        <v>5</v>
      </c>
      <c r="H236" s="190">
        <v>600</v>
      </c>
      <c r="I236" s="190" t="s">
        <v>346</v>
      </c>
      <c r="J236" s="204">
        <v>211.05</v>
      </c>
      <c r="K236" s="192">
        <v>195.43</v>
      </c>
      <c r="L236" s="160">
        <v>45292</v>
      </c>
      <c r="M236" s="136"/>
      <c r="O236" s="75" t="e">
        <v>#N/A</v>
      </c>
      <c r="P236" s="75" t="e">
        <v>#N/A</v>
      </c>
      <c r="Q236" s="75" t="e">
        <v>#N/A</v>
      </c>
    </row>
    <row r="237" spans="1:17">
      <c r="A237" s="511"/>
      <c r="B237" s="188" t="s">
        <v>537</v>
      </c>
      <c r="C237" s="193">
        <f>VLOOKUP(B237,'Tarifa 2025'!$B$103:$C$377,2,)</f>
        <v>3.5288288288288294</v>
      </c>
      <c r="D237" s="190">
        <f>1.6*3</f>
        <v>4.8000000000000007</v>
      </c>
      <c r="E237" s="190"/>
      <c r="F237" s="191">
        <v>33.299999999999997</v>
      </c>
      <c r="G237" s="190" t="s">
        <v>5</v>
      </c>
      <c r="H237" s="190">
        <v>1998</v>
      </c>
      <c r="I237" s="190" t="s">
        <v>357</v>
      </c>
      <c r="J237" s="204">
        <v>113.07</v>
      </c>
      <c r="K237" s="192">
        <v>104.69</v>
      </c>
      <c r="L237" s="160">
        <v>45292</v>
      </c>
      <c r="M237" s="136"/>
      <c r="O237" s="75">
        <v>5.1180180180180201</v>
      </c>
      <c r="P237" s="75">
        <v>184.06</v>
      </c>
      <c r="Q237" s="75">
        <v>170.43</v>
      </c>
    </row>
    <row r="238" spans="1:17">
      <c r="A238" s="511"/>
      <c r="B238" s="188" t="s">
        <v>538</v>
      </c>
      <c r="C238" s="193">
        <f>VLOOKUP(B238,'Tarifa 2025'!$B$103:$C$377,2,)</f>
        <v>2.0936000000000003</v>
      </c>
      <c r="D238" s="190">
        <f>1.5*2</f>
        <v>3</v>
      </c>
      <c r="E238" s="190"/>
      <c r="F238" s="191">
        <v>25</v>
      </c>
      <c r="G238" s="190" t="s">
        <v>5</v>
      </c>
      <c r="H238" s="190">
        <v>600</v>
      </c>
      <c r="I238" s="190" t="s">
        <v>346</v>
      </c>
      <c r="J238" s="204">
        <v>126.91</v>
      </c>
      <c r="K238" s="192">
        <v>117.51</v>
      </c>
      <c r="L238" s="160">
        <v>45292</v>
      </c>
      <c r="M238" s="136"/>
      <c r="O238" s="75">
        <v>2.0407999999999999</v>
      </c>
      <c r="P238" s="75">
        <v>55.1</v>
      </c>
      <c r="Q238" s="75">
        <v>51.02</v>
      </c>
    </row>
    <row r="239" spans="1:17">
      <c r="A239" s="511"/>
      <c r="B239" s="188" t="s">
        <v>539</v>
      </c>
      <c r="C239" s="193">
        <f>VLOOKUP(B239,'Tarifa 2025'!$B$103:$C$377,2,)</f>
        <v>2.1459999999999999</v>
      </c>
      <c r="D239" s="190">
        <f>1.5*2</f>
        <v>3</v>
      </c>
      <c r="E239" s="190"/>
      <c r="F239" s="191">
        <v>25</v>
      </c>
      <c r="G239" s="190" t="s">
        <v>5</v>
      </c>
      <c r="H239" s="190">
        <v>600</v>
      </c>
      <c r="I239" s="190" t="s">
        <v>346</v>
      </c>
      <c r="J239" s="204">
        <v>56.53</v>
      </c>
      <c r="K239" s="192">
        <v>52.34</v>
      </c>
      <c r="L239" s="160">
        <v>45292</v>
      </c>
      <c r="M239" s="136"/>
      <c r="O239" s="75">
        <v>2.0916000000000001</v>
      </c>
      <c r="P239" s="75">
        <v>56.47</v>
      </c>
      <c r="Q239" s="75">
        <v>52.29</v>
      </c>
    </row>
    <row r="240" spans="1:17">
      <c r="A240" s="511"/>
      <c r="B240" s="108" t="s">
        <v>98</v>
      </c>
      <c r="C240" s="193">
        <f>VLOOKUP(B240,'Tarifa 2025'!$B$103:$C$377,2,)</f>
        <v>0</v>
      </c>
      <c r="D240" s="69" t="s">
        <v>98</v>
      </c>
      <c r="E240" s="69"/>
      <c r="F240" s="90" t="s">
        <v>98</v>
      </c>
      <c r="G240" s="69" t="s">
        <v>98</v>
      </c>
      <c r="H240" s="69" t="s">
        <v>98</v>
      </c>
      <c r="I240" s="69" t="s">
        <v>98</v>
      </c>
      <c r="J240" s="204">
        <v>57.94</v>
      </c>
      <c r="K240" s="192">
        <v>53.65</v>
      </c>
      <c r="L240" s="160">
        <v>45292</v>
      </c>
      <c r="M240" s="78"/>
      <c r="O240" s="75">
        <v>0</v>
      </c>
      <c r="P240" s="75">
        <v>0</v>
      </c>
      <c r="Q240" s="75">
        <v>0</v>
      </c>
    </row>
    <row r="241" spans="1:17">
      <c r="A241" s="511"/>
      <c r="B241" s="188" t="s">
        <v>540</v>
      </c>
      <c r="C241" s="193">
        <f>VLOOKUP(B241,'Tarifa 2025'!$B$103:$C$377,2,)</f>
        <v>4.0836666666666668</v>
      </c>
      <c r="D241" s="190">
        <v>1</v>
      </c>
      <c r="E241" s="190"/>
      <c r="F241" s="191">
        <v>60</v>
      </c>
      <c r="G241" s="190" t="s">
        <v>141</v>
      </c>
      <c r="H241" s="190">
        <v>84</v>
      </c>
      <c r="I241" s="190" t="s">
        <v>351</v>
      </c>
      <c r="J241" s="204" t="s">
        <v>98</v>
      </c>
      <c r="K241" s="192" t="s">
        <v>98</v>
      </c>
      <c r="L241" s="160">
        <v>45292</v>
      </c>
      <c r="M241" s="139"/>
      <c r="O241" s="75">
        <v>3.9801666666666669</v>
      </c>
      <c r="P241" s="75">
        <v>245.79</v>
      </c>
      <c r="Q241" s="75">
        <v>238.81</v>
      </c>
    </row>
    <row r="242" spans="1:17">
      <c r="A242" s="511"/>
      <c r="B242" s="108" t="s">
        <v>98</v>
      </c>
      <c r="C242" s="193">
        <f>VLOOKUP(B242,'Tarifa 2025'!$B$103:$C$377,2,)</f>
        <v>0</v>
      </c>
      <c r="D242" s="69" t="s">
        <v>98</v>
      </c>
      <c r="E242" s="69"/>
      <c r="F242" s="90" t="s">
        <v>98</v>
      </c>
      <c r="G242" s="69" t="s">
        <v>98</v>
      </c>
      <c r="H242" s="69" t="s">
        <v>98</v>
      </c>
      <c r="I242" s="69" t="s">
        <v>98</v>
      </c>
      <c r="J242" s="204">
        <v>252.18</v>
      </c>
      <c r="K242" s="192">
        <v>245.02</v>
      </c>
      <c r="L242" s="160">
        <v>45292</v>
      </c>
      <c r="M242" s="78"/>
      <c r="O242" s="75">
        <v>0</v>
      </c>
      <c r="P242" s="75">
        <v>0</v>
      </c>
      <c r="Q242" s="75">
        <v>0</v>
      </c>
    </row>
    <row r="243" spans="1:17">
      <c r="A243" s="77"/>
      <c r="B243" s="104"/>
      <c r="C243" s="193" t="e">
        <f>VLOOKUP(B243,'Tarifa 2025'!$B$103:$C$377,2,)</f>
        <v>#N/A</v>
      </c>
      <c r="D243" s="78"/>
      <c r="E243" s="78"/>
      <c r="F243" s="87"/>
      <c r="G243" s="78"/>
      <c r="J243" s="204" t="s">
        <v>98</v>
      </c>
      <c r="K243" s="78" t="s">
        <v>98</v>
      </c>
      <c r="L243" s="160">
        <v>45292</v>
      </c>
      <c r="M243" s="78"/>
      <c r="O243" s="75" t="e">
        <v>#N/A</v>
      </c>
      <c r="P243" s="75" t="e">
        <v>#N/A</v>
      </c>
      <c r="Q243" s="75" t="e">
        <v>#N/A</v>
      </c>
    </row>
    <row r="244" spans="1:17">
      <c r="A244" s="511" t="s">
        <v>317</v>
      </c>
      <c r="B244" s="188" t="s">
        <v>677</v>
      </c>
      <c r="C244" s="193">
        <f>VLOOKUP(B244,'Tarifa 2025'!$B$103:$C$377,2,)</f>
        <v>0.2359</v>
      </c>
      <c r="D244" s="190">
        <v>6</v>
      </c>
      <c r="E244" s="190"/>
      <c r="F244" s="190">
        <v>100</v>
      </c>
      <c r="G244" s="190" t="s">
        <v>8</v>
      </c>
      <c r="H244" s="190" t="s">
        <v>98</v>
      </c>
      <c r="I244" s="209" t="s">
        <v>351</v>
      </c>
      <c r="J244" s="204"/>
      <c r="K244" s="192"/>
      <c r="L244" s="160">
        <v>45292</v>
      </c>
      <c r="M244" s="141"/>
      <c r="O244" s="75">
        <v>0.22989999999999999</v>
      </c>
      <c r="P244" s="75">
        <v>22.99</v>
      </c>
      <c r="Q244" s="75">
        <v>22.99</v>
      </c>
    </row>
    <row r="245" spans="1:17">
      <c r="A245" s="511"/>
      <c r="B245" s="188" t="s">
        <v>678</v>
      </c>
      <c r="C245" s="193">
        <f>VLOOKUP(B245,'Tarifa 2025'!$B$103:$C$377,2,)</f>
        <v>0.28739999999999999</v>
      </c>
      <c r="D245" s="190">
        <v>6</v>
      </c>
      <c r="E245" s="190"/>
      <c r="F245" s="190">
        <v>100</v>
      </c>
      <c r="G245" s="190" t="s">
        <v>8</v>
      </c>
      <c r="H245" s="190" t="s">
        <v>98</v>
      </c>
      <c r="I245" s="209" t="s">
        <v>351</v>
      </c>
      <c r="J245" s="204">
        <v>23.59</v>
      </c>
      <c r="K245" s="192">
        <v>23.59</v>
      </c>
      <c r="L245" s="160">
        <v>45292</v>
      </c>
      <c r="M245" s="139"/>
      <c r="O245" s="75">
        <v>0.28039999999999998</v>
      </c>
      <c r="P245" s="75">
        <v>28.04</v>
      </c>
      <c r="Q245" s="75">
        <v>28.04</v>
      </c>
    </row>
    <row r="246" spans="1:17">
      <c r="A246" s="511"/>
      <c r="B246" s="188" t="s">
        <v>679</v>
      </c>
      <c r="C246" s="193">
        <f>VLOOKUP(B246,'Tarifa 2025'!$B$103:$C$377,2,)</f>
        <v>0.46</v>
      </c>
      <c r="D246" s="190">
        <v>5.5</v>
      </c>
      <c r="E246" s="190"/>
      <c r="F246" s="190">
        <v>100</v>
      </c>
      <c r="G246" s="190" t="s">
        <v>8</v>
      </c>
      <c r="H246" s="190" t="s">
        <v>98</v>
      </c>
      <c r="I246" s="209" t="s">
        <v>351</v>
      </c>
      <c r="J246" s="204">
        <v>28.74</v>
      </c>
      <c r="K246" s="192">
        <v>28.74</v>
      </c>
      <c r="L246" s="160">
        <v>45292</v>
      </c>
      <c r="M246" s="139"/>
      <c r="O246" s="75">
        <v>0.44829999999999998</v>
      </c>
      <c r="P246" s="75">
        <v>44.83</v>
      </c>
      <c r="Q246" s="75">
        <v>44.83</v>
      </c>
    </row>
    <row r="247" spans="1:17">
      <c r="A247" s="511"/>
      <c r="B247" s="188" t="s">
        <v>680</v>
      </c>
      <c r="C247" s="193">
        <f>VLOOKUP(B247,'Tarifa 2025'!$B$103:$C$377,2,)</f>
        <v>7.8599999999999989E-2</v>
      </c>
      <c r="D247" s="190">
        <v>6</v>
      </c>
      <c r="E247" s="190">
        <v>5.5</v>
      </c>
      <c r="F247" s="190">
        <v>500</v>
      </c>
      <c r="G247" s="190" t="s">
        <v>8</v>
      </c>
      <c r="H247" s="190" t="s">
        <v>98</v>
      </c>
      <c r="I247" s="209" t="s">
        <v>351</v>
      </c>
      <c r="J247" s="204">
        <v>46</v>
      </c>
      <c r="K247" s="192">
        <v>46</v>
      </c>
      <c r="L247" s="160">
        <v>45292</v>
      </c>
      <c r="M247" s="141"/>
      <c r="O247" s="75">
        <v>7.664E-2</v>
      </c>
      <c r="P247" s="75">
        <v>38.32</v>
      </c>
      <c r="Q247" s="75">
        <v>38.32</v>
      </c>
    </row>
    <row r="248" spans="1:17">
      <c r="A248" s="511"/>
      <c r="B248" s="108" t="s">
        <v>98</v>
      </c>
      <c r="C248" s="193">
        <f>VLOOKUP(B248,'Tarifa 2025'!$B$103:$C$377,2,)</f>
        <v>0</v>
      </c>
      <c r="D248" s="69" t="s">
        <v>98</v>
      </c>
      <c r="E248" s="69"/>
      <c r="F248" s="69" t="s">
        <v>98</v>
      </c>
      <c r="G248" s="69" t="s">
        <v>98</v>
      </c>
      <c r="H248" s="69" t="s">
        <v>98</v>
      </c>
      <c r="I248" s="68" t="s">
        <v>98</v>
      </c>
      <c r="J248" s="204">
        <v>39.299999999999997</v>
      </c>
      <c r="K248" s="69">
        <v>39.299999999999997</v>
      </c>
      <c r="L248" s="160">
        <v>45292</v>
      </c>
      <c r="M248" s="78"/>
      <c r="O248" s="75">
        <v>0</v>
      </c>
      <c r="P248" s="75">
        <v>0</v>
      </c>
      <c r="Q248" s="75">
        <v>0</v>
      </c>
    </row>
    <row r="249" spans="1:17">
      <c r="A249" s="77"/>
      <c r="B249" s="104"/>
      <c r="C249" s="193" t="e">
        <f>VLOOKUP(B249,'Tarifa 2025'!$B$103:$C$377,2,)</f>
        <v>#N/A</v>
      </c>
      <c r="D249" s="78"/>
      <c r="E249" s="78"/>
      <c r="F249" s="87"/>
      <c r="G249" s="78"/>
      <c r="J249" s="204" t="s">
        <v>98</v>
      </c>
      <c r="K249" s="78" t="s">
        <v>98</v>
      </c>
      <c r="L249" s="160">
        <v>45292</v>
      </c>
      <c r="M249" s="78"/>
      <c r="O249" s="75" t="e">
        <v>#N/A</v>
      </c>
      <c r="P249" s="75" t="e">
        <v>#N/A</v>
      </c>
      <c r="Q249" s="75" t="e">
        <v>#N/A</v>
      </c>
    </row>
    <row r="250" spans="1:17">
      <c r="A250" s="511" t="s">
        <v>318</v>
      </c>
      <c r="B250" s="210" t="s">
        <v>682</v>
      </c>
      <c r="C250" s="193">
        <f>VLOOKUP(B250,'Tarifa 2025'!$B$103:$C$377,2,)</f>
        <v>1.4228999999999998</v>
      </c>
      <c r="D250" s="211">
        <v>1</v>
      </c>
      <c r="E250" s="189"/>
      <c r="F250" s="212">
        <v>100</v>
      </c>
      <c r="G250" s="189" t="s">
        <v>8</v>
      </c>
      <c r="H250" s="189" t="s">
        <v>98</v>
      </c>
      <c r="I250" s="189" t="s">
        <v>351</v>
      </c>
      <c r="J250" s="204"/>
      <c r="K250" s="192"/>
      <c r="L250" s="160">
        <v>45292</v>
      </c>
      <c r="M250" s="136"/>
      <c r="O250" s="75">
        <v>1.393</v>
      </c>
      <c r="P250" s="75">
        <v>139.30000000000001</v>
      </c>
      <c r="Q250" s="75">
        <v>139.30000000000001</v>
      </c>
    </row>
    <row r="251" spans="1:17">
      <c r="A251" s="511"/>
      <c r="B251" s="188" t="s">
        <v>683</v>
      </c>
      <c r="C251" s="193">
        <f>VLOOKUP(B251,'Tarifa 2025'!$B$103:$C$377,2,)</f>
        <v>7.4010000000000007</v>
      </c>
      <c r="D251" s="190">
        <v>1</v>
      </c>
      <c r="E251" s="190"/>
      <c r="F251" s="191">
        <v>20</v>
      </c>
      <c r="G251" s="190" t="s">
        <v>8</v>
      </c>
      <c r="H251" s="190" t="s">
        <v>98</v>
      </c>
      <c r="I251" s="190" t="s">
        <v>351</v>
      </c>
      <c r="J251" s="204">
        <v>142.29</v>
      </c>
      <c r="K251" s="192">
        <v>142.29</v>
      </c>
      <c r="L251" s="160">
        <v>45292</v>
      </c>
      <c r="M251" s="136"/>
      <c r="O251" s="75">
        <v>7.2249999999999996</v>
      </c>
      <c r="P251" s="75">
        <v>144.5</v>
      </c>
      <c r="Q251" s="75">
        <v>144.5</v>
      </c>
    </row>
    <row r="252" spans="1:17">
      <c r="A252" s="511"/>
      <c r="B252" s="188" t="s">
        <v>684</v>
      </c>
      <c r="C252" s="193">
        <f>VLOOKUP(B252,'Tarifa 2025'!$B$103:$C$377,2,)</f>
        <v>7.5010000000000003</v>
      </c>
      <c r="D252" s="190">
        <v>1</v>
      </c>
      <c r="E252" s="190"/>
      <c r="F252" s="191">
        <v>20</v>
      </c>
      <c r="G252" s="190" t="s">
        <v>8</v>
      </c>
      <c r="H252" s="190" t="s">
        <v>98</v>
      </c>
      <c r="I252" s="190" t="s">
        <v>351</v>
      </c>
      <c r="J252" s="204">
        <v>148.02000000000001</v>
      </c>
      <c r="K252" s="192">
        <v>148.02000000000001</v>
      </c>
      <c r="L252" s="160">
        <v>45292</v>
      </c>
      <c r="M252" s="136"/>
      <c r="O252" s="75">
        <v>7.33</v>
      </c>
      <c r="P252" s="75">
        <v>146.6</v>
      </c>
      <c r="Q252" s="75">
        <v>146.6</v>
      </c>
    </row>
    <row r="253" spans="1:17">
      <c r="A253" s="511"/>
      <c r="B253" s="188" t="s">
        <v>685</v>
      </c>
      <c r="C253" s="193">
        <f>VLOOKUP(B253,'Tarifa 2025'!$B$103:$C$377,2,)</f>
        <v>7.6684999999999999</v>
      </c>
      <c r="D253" s="190">
        <v>1</v>
      </c>
      <c r="E253" s="190"/>
      <c r="F253" s="191">
        <v>20</v>
      </c>
      <c r="G253" s="190" t="s">
        <v>8</v>
      </c>
      <c r="H253" s="190" t="s">
        <v>98</v>
      </c>
      <c r="I253" s="190" t="s">
        <v>351</v>
      </c>
      <c r="J253" s="204">
        <v>150.02000000000001</v>
      </c>
      <c r="K253" s="192">
        <v>150.02000000000001</v>
      </c>
      <c r="L253" s="160">
        <v>45292</v>
      </c>
      <c r="M253" s="136"/>
      <c r="O253" s="75">
        <v>7.4879999999999995</v>
      </c>
      <c r="P253" s="75">
        <v>149.76</v>
      </c>
      <c r="Q253" s="75">
        <v>149.76</v>
      </c>
    </row>
    <row r="254" spans="1:17">
      <c r="A254" s="511"/>
      <c r="B254" s="188" t="s">
        <v>686</v>
      </c>
      <c r="C254" s="193">
        <f>VLOOKUP(B254,'Tarifa 2025'!$B$103:$C$377,2,)</f>
        <v>7.7765000000000004</v>
      </c>
      <c r="D254" s="190">
        <v>1</v>
      </c>
      <c r="E254" s="190"/>
      <c r="F254" s="191">
        <v>20</v>
      </c>
      <c r="G254" s="190" t="s">
        <v>8</v>
      </c>
      <c r="H254" s="190" t="s">
        <v>98</v>
      </c>
      <c r="I254" s="190" t="s">
        <v>351</v>
      </c>
      <c r="J254" s="204">
        <v>153.37</v>
      </c>
      <c r="K254" s="192">
        <v>153.37</v>
      </c>
      <c r="L254" s="160">
        <v>45292</v>
      </c>
      <c r="M254" s="136"/>
      <c r="O254" s="75">
        <v>7.5939999999999994</v>
      </c>
      <c r="P254" s="75">
        <v>151.88</v>
      </c>
      <c r="Q254" s="75">
        <v>151.88</v>
      </c>
    </row>
    <row r="255" spans="1:17">
      <c r="A255" s="511"/>
      <c r="B255" s="188" t="s">
        <v>687</v>
      </c>
      <c r="C255" s="193">
        <f>VLOOKUP(B255,'Tarifa 2025'!$B$103:$C$377,2,)</f>
        <v>8.0019999999999989</v>
      </c>
      <c r="D255" s="190">
        <v>1</v>
      </c>
      <c r="E255" s="190"/>
      <c r="F255" s="191">
        <v>20</v>
      </c>
      <c r="G255" s="190" t="s">
        <v>8</v>
      </c>
      <c r="H255" s="190" t="s">
        <v>98</v>
      </c>
      <c r="I255" s="190" t="s">
        <v>351</v>
      </c>
      <c r="J255" s="204">
        <v>155.53</v>
      </c>
      <c r="K255" s="192">
        <v>155.53</v>
      </c>
      <c r="L255" s="160">
        <v>45292</v>
      </c>
      <c r="M255" s="136"/>
      <c r="O255" s="75">
        <v>7.8045</v>
      </c>
      <c r="P255" s="75">
        <v>156.09</v>
      </c>
      <c r="Q255" s="75">
        <v>156.09</v>
      </c>
    </row>
    <row r="256" spans="1:17">
      <c r="A256" s="511"/>
      <c r="B256" s="188" t="s">
        <v>847</v>
      </c>
      <c r="C256" s="193">
        <f>VLOOKUP(B256,'Tarifa 2025'!$B$103:$C$377,2,)</f>
        <v>28.76</v>
      </c>
      <c r="D256" s="190">
        <v>1</v>
      </c>
      <c r="E256" s="190"/>
      <c r="F256" s="191">
        <v>20</v>
      </c>
      <c r="G256" s="190" t="s">
        <v>8</v>
      </c>
      <c r="H256" s="190" t="s">
        <v>98</v>
      </c>
      <c r="I256" s="190" t="s">
        <v>351</v>
      </c>
      <c r="J256" s="204">
        <v>160.04</v>
      </c>
      <c r="K256" s="192">
        <v>160.04</v>
      </c>
      <c r="L256" s="160">
        <v>45292</v>
      </c>
      <c r="M256" s="138"/>
      <c r="O256" s="75">
        <v>28.077999999999996</v>
      </c>
      <c r="P256" s="75">
        <v>561.55999999999995</v>
      </c>
      <c r="Q256" s="75">
        <v>561.55999999999995</v>
      </c>
    </row>
    <row r="257" spans="1:17">
      <c r="A257" s="511"/>
      <c r="B257" s="188" t="s">
        <v>848</v>
      </c>
      <c r="C257" s="193">
        <f>VLOOKUP(B257,'Tarifa 2025'!$B$103:$C$377,2,)</f>
        <v>28.76</v>
      </c>
      <c r="D257" s="190">
        <v>1</v>
      </c>
      <c r="E257" s="190"/>
      <c r="F257" s="191">
        <v>20</v>
      </c>
      <c r="G257" s="190" t="s">
        <v>8</v>
      </c>
      <c r="H257" s="190" t="s">
        <v>98</v>
      </c>
      <c r="I257" s="190" t="s">
        <v>351</v>
      </c>
      <c r="J257" s="204">
        <v>575.20000000000005</v>
      </c>
      <c r="K257" s="192">
        <v>575.20000000000005</v>
      </c>
      <c r="L257" s="160">
        <v>45292</v>
      </c>
      <c r="M257" s="138"/>
      <c r="O257" s="75">
        <v>28.077999999999996</v>
      </c>
      <c r="P257" s="75">
        <v>561.55999999999995</v>
      </c>
      <c r="Q257" s="75">
        <v>561.55999999999995</v>
      </c>
    </row>
    <row r="258" spans="1:17">
      <c r="A258" s="511"/>
      <c r="B258" s="188" t="s">
        <v>688</v>
      </c>
      <c r="C258" s="193">
        <f>VLOOKUP(B258,'Tarifa 2025'!$B$103:$C$377,2,)</f>
        <v>128.61000000000001</v>
      </c>
      <c r="D258" s="190">
        <v>1</v>
      </c>
      <c r="E258" s="190"/>
      <c r="F258" s="191">
        <v>20</v>
      </c>
      <c r="G258" s="190" t="s">
        <v>8</v>
      </c>
      <c r="H258" s="190" t="s">
        <v>98</v>
      </c>
      <c r="I258" s="190" t="s">
        <v>351</v>
      </c>
      <c r="J258" s="204">
        <v>575.20000000000005</v>
      </c>
      <c r="K258" s="192">
        <v>575.20000000000005</v>
      </c>
      <c r="L258" s="160">
        <v>45292</v>
      </c>
      <c r="M258" s="136"/>
      <c r="O258" s="75">
        <v>125.43</v>
      </c>
      <c r="P258" s="75">
        <v>125.43</v>
      </c>
      <c r="Q258" s="75">
        <v>125.43</v>
      </c>
    </row>
    <row r="259" spans="1:17">
      <c r="A259" s="511"/>
      <c r="B259" s="188" t="s">
        <v>689</v>
      </c>
      <c r="C259" s="193">
        <f>VLOOKUP(B259,'Tarifa 2025'!$B$103:$C$377,2,)</f>
        <v>136.11000000000001</v>
      </c>
      <c r="D259" s="190">
        <v>1</v>
      </c>
      <c r="E259" s="190"/>
      <c r="F259" s="191">
        <v>20</v>
      </c>
      <c r="G259" s="190" t="s">
        <v>8</v>
      </c>
      <c r="H259" s="190" t="s">
        <v>98</v>
      </c>
      <c r="I259" s="190" t="s">
        <v>351</v>
      </c>
      <c r="J259" s="204">
        <v>128.61000000000001</v>
      </c>
      <c r="K259" s="192">
        <v>128.61000000000001</v>
      </c>
      <c r="L259" s="160">
        <v>45292</v>
      </c>
      <c r="M259" s="136"/>
      <c r="O259" s="75">
        <v>136.11000000000001</v>
      </c>
      <c r="P259" s="75">
        <v>136.11000000000001</v>
      </c>
      <c r="Q259" s="75">
        <v>136.11000000000001</v>
      </c>
    </row>
    <row r="260" spans="1:17">
      <c r="A260" s="511"/>
      <c r="B260" s="188" t="s">
        <v>690</v>
      </c>
      <c r="C260" s="193">
        <f>VLOOKUP(B260,'Tarifa 2025'!$B$103:$C$377,2,)</f>
        <v>158.36000000000001</v>
      </c>
      <c r="D260" s="190">
        <v>1</v>
      </c>
      <c r="E260" s="190"/>
      <c r="F260" s="191">
        <v>20</v>
      </c>
      <c r="G260" s="190" t="s">
        <v>8</v>
      </c>
      <c r="H260" s="190" t="s">
        <v>98</v>
      </c>
      <c r="I260" s="190" t="s">
        <v>351</v>
      </c>
      <c r="J260" s="204">
        <v>136.11000000000001</v>
      </c>
      <c r="K260" s="192">
        <v>136.11000000000001</v>
      </c>
      <c r="L260" s="160">
        <v>45292</v>
      </c>
      <c r="M260" s="136"/>
      <c r="O260" s="75">
        <v>154.44999999999999</v>
      </c>
      <c r="P260" s="75">
        <v>154.44999999999999</v>
      </c>
      <c r="Q260" s="75">
        <v>154.44999999999999</v>
      </c>
    </row>
    <row r="261" spans="1:17">
      <c r="A261" s="511"/>
      <c r="B261" s="108" t="s">
        <v>98</v>
      </c>
      <c r="C261" s="193">
        <f>VLOOKUP(B261,'Tarifa 2025'!$B$103:$C$377,2,)</f>
        <v>0</v>
      </c>
      <c r="D261" s="69" t="s">
        <v>98</v>
      </c>
      <c r="E261" s="69"/>
      <c r="F261" s="90" t="s">
        <v>98</v>
      </c>
      <c r="G261" s="69" t="s">
        <v>98</v>
      </c>
      <c r="H261" s="69" t="s">
        <v>98</v>
      </c>
      <c r="I261" s="69" t="s">
        <v>98</v>
      </c>
      <c r="J261" s="204">
        <v>158.36000000000001</v>
      </c>
      <c r="K261" s="69">
        <v>158.36000000000001</v>
      </c>
      <c r="L261" s="160">
        <v>45292</v>
      </c>
      <c r="M261" s="78"/>
      <c r="O261" s="75">
        <v>0</v>
      </c>
      <c r="P261" s="75">
        <v>0</v>
      </c>
      <c r="Q261" s="75">
        <v>0</v>
      </c>
    </row>
    <row r="262" spans="1:17">
      <c r="A262" s="77"/>
      <c r="B262" s="104"/>
      <c r="C262" s="193" t="e">
        <f>VLOOKUP(B262,'Tarifa 2025'!$B$103:$C$377,2,)</f>
        <v>#N/A</v>
      </c>
      <c r="D262" s="78"/>
      <c r="E262" s="78"/>
      <c r="F262" s="87"/>
      <c r="G262" s="78"/>
      <c r="J262" s="204" t="s">
        <v>98</v>
      </c>
      <c r="K262" s="78" t="s">
        <v>98</v>
      </c>
      <c r="L262" s="160">
        <v>45292</v>
      </c>
      <c r="M262" s="78"/>
      <c r="O262" s="75" t="e">
        <v>#N/A</v>
      </c>
      <c r="P262" s="75" t="e">
        <v>#N/A</v>
      </c>
      <c r="Q262" s="75" t="e">
        <v>#N/A</v>
      </c>
    </row>
    <row r="263" spans="1:17">
      <c r="A263" s="511" t="s">
        <v>319</v>
      </c>
      <c r="B263" s="188" t="s">
        <v>681</v>
      </c>
      <c r="C263" s="193">
        <f>VLOOKUP(B263,'Tarifa 2025'!$B$103:$C$377,2,)</f>
        <v>2.2936399999999999</v>
      </c>
      <c r="D263" s="190">
        <v>1</v>
      </c>
      <c r="E263" s="190"/>
      <c r="F263" s="190">
        <v>250</v>
      </c>
      <c r="G263" s="190" t="s">
        <v>141</v>
      </c>
      <c r="H263" s="190">
        <v>20</v>
      </c>
      <c r="I263" s="190" t="s">
        <v>351</v>
      </c>
      <c r="J263" s="204"/>
      <c r="K263" s="192"/>
      <c r="L263" s="160">
        <v>45292</v>
      </c>
      <c r="M263" s="144" t="s">
        <v>458</v>
      </c>
      <c r="O263" s="75">
        <v>2.2387199999999998</v>
      </c>
      <c r="P263" s="75">
        <v>559.67999999999995</v>
      </c>
      <c r="Q263" s="75">
        <v>559.67999999999995</v>
      </c>
    </row>
    <row r="264" spans="1:17">
      <c r="A264" s="511"/>
      <c r="B264" s="188" t="s">
        <v>541</v>
      </c>
      <c r="C264" s="193">
        <f>VLOOKUP(B264,'Tarifa 2025'!$B$103:$C$377,2,)</f>
        <v>0.3168333333333333</v>
      </c>
      <c r="D264" s="190">
        <v>3</v>
      </c>
      <c r="E264" s="190"/>
      <c r="F264" s="190">
        <v>300</v>
      </c>
      <c r="G264" s="190" t="s">
        <v>141</v>
      </c>
      <c r="H264" s="190">
        <v>120</v>
      </c>
      <c r="I264" s="190" t="s">
        <v>351</v>
      </c>
      <c r="J264" s="204">
        <v>573.41</v>
      </c>
      <c r="K264" s="192">
        <v>573.41</v>
      </c>
      <c r="L264" s="160">
        <v>45292</v>
      </c>
      <c r="M264" s="139"/>
      <c r="O264" s="75">
        <v>0.30880000000000002</v>
      </c>
      <c r="P264" s="75">
        <v>95.76</v>
      </c>
      <c r="Q264" s="75">
        <v>92.64</v>
      </c>
    </row>
    <row r="265" spans="1:17">
      <c r="A265" s="511"/>
      <c r="B265" s="108" t="s">
        <v>98</v>
      </c>
      <c r="C265" s="193">
        <f>VLOOKUP(B265,'Tarifa 2025'!$B$103:$C$377,2,)</f>
        <v>0</v>
      </c>
      <c r="D265" s="69" t="s">
        <v>98</v>
      </c>
      <c r="E265" s="69"/>
      <c r="F265" s="90" t="s">
        <v>98</v>
      </c>
      <c r="G265" s="69" t="s">
        <v>98</v>
      </c>
      <c r="H265" s="69" t="s">
        <v>98</v>
      </c>
      <c r="I265" s="69" t="s">
        <v>98</v>
      </c>
      <c r="J265" s="204">
        <v>98.25</v>
      </c>
      <c r="K265" s="69">
        <v>95.05</v>
      </c>
      <c r="L265" s="160">
        <v>45292</v>
      </c>
      <c r="M265" s="78"/>
      <c r="O265" s="75">
        <v>0</v>
      </c>
      <c r="P265" s="75">
        <v>0</v>
      </c>
      <c r="Q265" s="75">
        <v>0</v>
      </c>
    </row>
    <row r="266" spans="1:17">
      <c r="A266" s="77"/>
      <c r="B266" s="104"/>
      <c r="C266" s="193" t="e">
        <f>VLOOKUP(B266,'Tarifa 2025'!$B$103:$C$377,2,)</f>
        <v>#N/A</v>
      </c>
      <c r="D266" s="78"/>
      <c r="E266" s="78"/>
      <c r="F266" s="87"/>
      <c r="G266" s="78"/>
      <c r="J266" s="204" t="s">
        <v>98</v>
      </c>
      <c r="K266" s="78" t="s">
        <v>98</v>
      </c>
      <c r="L266" s="160">
        <v>45292</v>
      </c>
      <c r="M266" s="78"/>
      <c r="O266" s="75" t="e">
        <v>#N/A</v>
      </c>
      <c r="P266" s="75" t="e">
        <v>#N/A</v>
      </c>
      <c r="Q266" s="75" t="e">
        <v>#N/A</v>
      </c>
    </row>
    <row r="267" spans="1:17">
      <c r="A267" s="77"/>
      <c r="B267" s="104"/>
      <c r="C267" s="193" t="e">
        <f>VLOOKUP(B267,'Tarifa 2025'!$B$103:$C$377,2,)</f>
        <v>#N/A</v>
      </c>
      <c r="D267" s="78"/>
      <c r="E267" s="78"/>
      <c r="F267" s="87"/>
      <c r="G267" s="78"/>
      <c r="J267" s="204"/>
      <c r="K267" s="78"/>
      <c r="L267" s="160">
        <v>45292</v>
      </c>
      <c r="M267" s="78"/>
      <c r="O267" s="75" t="e">
        <v>#N/A</v>
      </c>
      <c r="P267" s="75" t="e">
        <v>#N/A</v>
      </c>
      <c r="Q267" s="75" t="e">
        <v>#N/A</v>
      </c>
    </row>
    <row r="268" spans="1:17">
      <c r="A268" s="510" t="s">
        <v>433</v>
      </c>
      <c r="B268" s="178" t="s">
        <v>532</v>
      </c>
      <c r="C268" s="193">
        <f>VLOOKUP(B268,'Tarifa 2025'!$B$103:$C$377,2,)</f>
        <v>0.36680000000000001</v>
      </c>
      <c r="D268" s="179">
        <v>1.6</v>
      </c>
      <c r="E268" s="180"/>
      <c r="F268" s="181">
        <v>25</v>
      </c>
      <c r="G268" s="180" t="s">
        <v>5</v>
      </c>
      <c r="H268" s="180">
        <v>1200</v>
      </c>
      <c r="I268" s="180" t="s">
        <v>346</v>
      </c>
      <c r="J268" s="204">
        <v>145.1</v>
      </c>
      <c r="K268" s="182">
        <v>143.76</v>
      </c>
      <c r="L268" s="160">
        <v>45292</v>
      </c>
      <c r="M268" s="136"/>
      <c r="O268" s="75">
        <v>0.37799999999999995</v>
      </c>
      <c r="P268" s="75">
        <v>10.76</v>
      </c>
      <c r="Q268" s="75">
        <v>9.4499999999999993</v>
      </c>
    </row>
    <row r="269" spans="1:17">
      <c r="A269" s="510"/>
      <c r="B269" s="178" t="s">
        <v>531</v>
      </c>
      <c r="C269" s="193">
        <f>VLOOKUP(B269,'Tarifa 2025'!$B$103:$C$377,2,)</f>
        <v>0.3876</v>
      </c>
      <c r="D269" s="179">
        <v>1.6</v>
      </c>
      <c r="E269" s="180"/>
      <c r="F269" s="181">
        <v>25</v>
      </c>
      <c r="G269" s="180" t="s">
        <v>5</v>
      </c>
      <c r="H269" s="180">
        <v>1200</v>
      </c>
      <c r="I269" s="180" t="s">
        <v>346</v>
      </c>
      <c r="J269" s="204">
        <v>153.81</v>
      </c>
      <c r="K269" s="182">
        <v>152.38</v>
      </c>
      <c r="L269" s="160">
        <v>45292</v>
      </c>
      <c r="M269" s="136"/>
      <c r="O269" s="75">
        <v>0.35759999999999997</v>
      </c>
      <c r="P269" s="75">
        <v>10.17</v>
      </c>
      <c r="Q269" s="75">
        <v>8.94</v>
      </c>
    </row>
    <row r="270" spans="1:17">
      <c r="A270" s="510"/>
      <c r="B270" s="178" t="s">
        <v>530</v>
      </c>
      <c r="C270" s="193">
        <f>VLOOKUP(B270,'Tarifa 2025'!$B$103:$C$377,2,)</f>
        <v>0.60760000000000003</v>
      </c>
      <c r="D270" s="179">
        <f>1.7*5</f>
        <v>8.5</v>
      </c>
      <c r="E270" s="180"/>
      <c r="F270" s="181">
        <v>25</v>
      </c>
      <c r="G270" s="180" t="s">
        <v>5</v>
      </c>
      <c r="H270" s="180">
        <v>1200</v>
      </c>
      <c r="I270" s="180" t="s">
        <v>346</v>
      </c>
      <c r="J270" s="204">
        <v>140.38</v>
      </c>
      <c r="K270" s="182">
        <v>138.9</v>
      </c>
      <c r="L270" s="160">
        <v>45292</v>
      </c>
      <c r="M270" s="136"/>
      <c r="O270" s="75">
        <v>1.3244</v>
      </c>
      <c r="P270" s="75">
        <v>35.409999999999997</v>
      </c>
      <c r="Q270" s="75">
        <v>33.11</v>
      </c>
    </row>
    <row r="271" spans="1:17">
      <c r="A271" s="510"/>
      <c r="B271" s="178" t="s">
        <v>529</v>
      </c>
      <c r="C271" s="193">
        <f>VLOOKUP(B271,'Tarifa 2025'!$B$103:$C$377,2,)</f>
        <v>0.7016</v>
      </c>
      <c r="D271" s="179">
        <v>1.6</v>
      </c>
      <c r="E271" s="180"/>
      <c r="F271" s="181">
        <v>25</v>
      </c>
      <c r="G271" s="180" t="s">
        <v>5</v>
      </c>
      <c r="H271" s="180">
        <v>1200</v>
      </c>
      <c r="I271" s="180" t="s">
        <v>346</v>
      </c>
      <c r="J271" s="204">
        <v>148.80000000000001</v>
      </c>
      <c r="K271" s="182">
        <v>147.22999999999999</v>
      </c>
      <c r="L271" s="160">
        <v>45292</v>
      </c>
      <c r="M271" s="136"/>
      <c r="O271" s="75">
        <v>0.68400000000000005</v>
      </c>
      <c r="P271" s="75">
        <v>18.47</v>
      </c>
      <c r="Q271" s="75">
        <v>17.100000000000001</v>
      </c>
    </row>
    <row r="272" spans="1:17">
      <c r="A272" s="77"/>
      <c r="B272" s="104"/>
      <c r="C272" s="193" t="e">
        <f>VLOOKUP(B272,'Tarifa 2025'!$B$103:$C$377,2,)</f>
        <v>#N/A</v>
      </c>
      <c r="D272" s="78"/>
      <c r="E272" s="78"/>
      <c r="F272" s="87"/>
      <c r="G272" s="78"/>
      <c r="J272" s="204">
        <v>151.18</v>
      </c>
      <c r="K272" s="78">
        <v>149.69</v>
      </c>
      <c r="L272" s="160">
        <v>45292</v>
      </c>
      <c r="O272" s="75" t="e">
        <v>#N/A</v>
      </c>
      <c r="P272" s="75" t="e">
        <v>#N/A</v>
      </c>
      <c r="Q272" s="75" t="e">
        <v>#N/A</v>
      </c>
    </row>
    <row r="273" spans="1:17">
      <c r="A273" s="77"/>
      <c r="B273" s="104"/>
      <c r="C273" s="193" t="e">
        <f>VLOOKUP(B273,'Tarifa 2025'!$B$103:$C$377,2,)</f>
        <v>#N/A</v>
      </c>
      <c r="D273" s="78"/>
      <c r="E273" s="78"/>
      <c r="F273" s="87"/>
      <c r="G273" s="78"/>
      <c r="J273" s="204">
        <v>160.25</v>
      </c>
      <c r="K273" s="78">
        <v>158.66999999999999</v>
      </c>
      <c r="L273" s="160">
        <v>45292</v>
      </c>
      <c r="O273" s="75" t="e">
        <v>#N/A</v>
      </c>
      <c r="P273" s="75" t="e">
        <v>#N/A</v>
      </c>
      <c r="Q273" s="75" t="e">
        <v>#N/A</v>
      </c>
    </row>
    <row r="274" spans="1:17">
      <c r="A274" s="77"/>
      <c r="B274" s="104"/>
      <c r="C274" s="193" t="e">
        <f>VLOOKUP(B274,'Tarifa 2025'!$B$103:$C$377,2,)</f>
        <v>#N/A</v>
      </c>
      <c r="D274" s="78"/>
      <c r="E274" s="78"/>
      <c r="F274" s="87"/>
      <c r="G274" s="78"/>
      <c r="J274" s="204">
        <v>157.63999999999999</v>
      </c>
      <c r="K274" s="78">
        <v>156.03</v>
      </c>
      <c r="L274" s="160">
        <v>45292</v>
      </c>
      <c r="O274" s="75" t="e">
        <v>#N/A</v>
      </c>
      <c r="P274" s="75" t="e">
        <v>#N/A</v>
      </c>
      <c r="Q274" s="75" t="e">
        <v>#N/A</v>
      </c>
    </row>
    <row r="275" spans="1:17">
      <c r="A275" s="77"/>
      <c r="B275" s="104"/>
      <c r="C275" s="193" t="e">
        <f>VLOOKUP(B275,'Tarifa 2025'!$B$103:$C$377,2,)</f>
        <v>#N/A</v>
      </c>
      <c r="D275" s="78"/>
      <c r="E275" s="78"/>
      <c r="F275" s="87"/>
      <c r="G275" s="78"/>
      <c r="J275" s="204">
        <v>167.1</v>
      </c>
      <c r="K275" s="78">
        <v>165.39</v>
      </c>
      <c r="L275" s="160">
        <v>45292</v>
      </c>
      <c r="O275" s="75" t="e">
        <v>#N/A</v>
      </c>
      <c r="P275" s="75" t="e">
        <v>#N/A</v>
      </c>
      <c r="Q275" s="75" t="e">
        <v>#N/A</v>
      </c>
    </row>
    <row r="276" spans="1:17">
      <c r="A276" s="77"/>
      <c r="B276" s="104"/>
      <c r="C276" s="193" t="e">
        <f>VLOOKUP(B276,'Tarifa 2025'!$B$103:$C$377,2,)</f>
        <v>#N/A</v>
      </c>
      <c r="D276" s="78"/>
      <c r="E276" s="78"/>
      <c r="F276" s="87"/>
      <c r="G276" s="78"/>
      <c r="J276" s="204">
        <v>246.52</v>
      </c>
      <c r="K276" s="78">
        <v>244.08</v>
      </c>
      <c r="L276" s="160">
        <v>45292</v>
      </c>
      <c r="O276" s="75" t="e">
        <v>#N/A</v>
      </c>
      <c r="P276" s="75" t="e">
        <v>#N/A</v>
      </c>
      <c r="Q276" s="75" t="e">
        <v>#N/A</v>
      </c>
    </row>
    <row r="277" spans="1:17">
      <c r="A277" s="77"/>
      <c r="B277" s="104"/>
      <c r="C277" s="193" t="e">
        <f>VLOOKUP(B277,'Tarifa 2025'!$B$103:$C$377,2,)</f>
        <v>#N/A</v>
      </c>
      <c r="D277" s="78"/>
      <c r="E277" s="78"/>
      <c r="F277" s="87"/>
      <c r="G277" s="78"/>
      <c r="J277" s="204">
        <v>261.31</v>
      </c>
      <c r="K277" s="78">
        <v>258.73</v>
      </c>
      <c r="L277" s="160">
        <v>45292</v>
      </c>
      <c r="O277" s="75" t="e">
        <v>#N/A</v>
      </c>
      <c r="P277" s="75" t="e">
        <v>#N/A</v>
      </c>
      <c r="Q277" s="75" t="e">
        <v>#N/A</v>
      </c>
    </row>
    <row r="278" spans="1:17">
      <c r="A278" s="77"/>
      <c r="B278" s="104"/>
      <c r="C278" s="193" t="e">
        <f>VLOOKUP(B278,'Tarifa 2025'!$B$103:$C$377,2,)</f>
        <v>#N/A</v>
      </c>
      <c r="D278" s="78"/>
      <c r="E278" s="78"/>
      <c r="F278" s="87"/>
      <c r="G278" s="78"/>
      <c r="J278" s="204"/>
      <c r="K278" s="78"/>
      <c r="L278" s="160">
        <v>45292</v>
      </c>
      <c r="O278" s="75" t="e">
        <v>#N/A</v>
      </c>
      <c r="P278" s="75" t="e">
        <v>#N/A</v>
      </c>
      <c r="Q278" s="75" t="e">
        <v>#N/A</v>
      </c>
    </row>
    <row r="279" spans="1:17">
      <c r="A279" s="77"/>
      <c r="B279" s="104"/>
      <c r="C279" s="193" t="e">
        <f>VLOOKUP(B279,'Tarifa 2025'!$B$103:$C$377,2,)</f>
        <v>#N/A</v>
      </c>
      <c r="D279" s="78"/>
      <c r="E279" s="78"/>
      <c r="F279" s="87"/>
      <c r="G279" s="78"/>
      <c r="J279" s="204">
        <v>10.44</v>
      </c>
      <c r="K279" s="78">
        <v>9.17</v>
      </c>
      <c r="L279" s="160">
        <v>45292</v>
      </c>
      <c r="O279" s="75" t="e">
        <v>#N/A</v>
      </c>
      <c r="P279" s="75" t="e">
        <v>#N/A</v>
      </c>
      <c r="Q279" s="75" t="e">
        <v>#N/A</v>
      </c>
    </row>
    <row r="280" spans="1:17">
      <c r="A280" s="77"/>
      <c r="B280" s="104"/>
      <c r="C280" s="193" t="e">
        <f>VLOOKUP(B280,'Tarifa 2025'!$B$103:$C$377,2,)</f>
        <v>#N/A</v>
      </c>
      <c r="D280" s="78"/>
      <c r="E280" s="78"/>
      <c r="F280" s="87"/>
      <c r="G280" s="78"/>
      <c r="J280" s="204">
        <v>11.04</v>
      </c>
      <c r="K280" s="78">
        <v>9.69</v>
      </c>
      <c r="L280" s="160">
        <v>45292</v>
      </c>
      <c r="O280" s="75" t="e">
        <v>#N/A</v>
      </c>
      <c r="P280" s="75" t="e">
        <v>#N/A</v>
      </c>
      <c r="Q280" s="75" t="e">
        <v>#N/A</v>
      </c>
    </row>
    <row r="281" spans="1:17">
      <c r="A281" s="77"/>
      <c r="B281" s="104"/>
      <c r="C281" s="193" t="e">
        <f>VLOOKUP(B281,'Tarifa 2025'!$B$103:$C$377,2,)</f>
        <v>#N/A</v>
      </c>
      <c r="D281" s="78"/>
      <c r="E281" s="78"/>
      <c r="F281" s="87"/>
      <c r="G281" s="78"/>
      <c r="J281" s="204">
        <v>16.399999999999999</v>
      </c>
      <c r="K281" s="78">
        <v>15.19</v>
      </c>
      <c r="L281" s="160">
        <v>45292</v>
      </c>
      <c r="O281" s="75" t="e">
        <v>#N/A</v>
      </c>
      <c r="P281" s="75" t="e">
        <v>#N/A</v>
      </c>
      <c r="Q281" s="75" t="e">
        <v>#N/A</v>
      </c>
    </row>
    <row r="282" spans="1:17">
      <c r="A282" s="77"/>
      <c r="B282" s="104"/>
      <c r="C282" s="193" t="e">
        <f>VLOOKUP(B282,'Tarifa 2025'!$B$103:$C$377,2,)</f>
        <v>#N/A</v>
      </c>
      <c r="D282" s="78"/>
      <c r="E282" s="78"/>
      <c r="F282" s="87"/>
      <c r="G282" s="78"/>
      <c r="J282" s="204">
        <v>18.95</v>
      </c>
      <c r="K282" s="78">
        <v>17.54</v>
      </c>
      <c r="L282" s="160">
        <v>45292</v>
      </c>
      <c r="O282" s="75" t="e">
        <v>#N/A</v>
      </c>
      <c r="P282" s="75" t="e">
        <v>#N/A</v>
      </c>
      <c r="Q282" s="75" t="e">
        <v>#N/A</v>
      </c>
    </row>
    <row r="283" spans="1:17">
      <c r="A283" s="77"/>
      <c r="B283" s="104"/>
      <c r="C283" s="193" t="e">
        <f>VLOOKUP(B283,'Tarifa 2025'!$B$103:$C$377,2,)</f>
        <v>#N/A</v>
      </c>
      <c r="D283" s="78"/>
      <c r="E283" s="78"/>
      <c r="F283" s="87"/>
      <c r="G283" s="78"/>
      <c r="J283" s="204"/>
      <c r="K283" s="78"/>
      <c r="L283" s="160">
        <v>45292</v>
      </c>
      <c r="O283" s="75" t="e">
        <v>#N/A</v>
      </c>
      <c r="P283" s="75" t="e">
        <v>#N/A</v>
      </c>
      <c r="Q283" s="75" t="e">
        <v>#N/A</v>
      </c>
    </row>
    <row r="284" spans="1:17">
      <c r="A284" s="77"/>
      <c r="B284" s="104"/>
      <c r="C284" s="193" t="e">
        <f>VLOOKUP(B284,'Tarifa 2025'!$B$103:$C$377,2,)</f>
        <v>#N/A</v>
      </c>
      <c r="D284" s="78"/>
      <c r="E284" s="78"/>
      <c r="F284" s="87"/>
      <c r="G284" s="78"/>
      <c r="J284" s="204">
        <v>100.87</v>
      </c>
      <c r="K284" s="78">
        <v>100.87</v>
      </c>
      <c r="L284" s="160">
        <v>45292</v>
      </c>
      <c r="O284" s="75" t="e">
        <v>#N/A</v>
      </c>
      <c r="P284" s="75" t="e">
        <v>#N/A</v>
      </c>
      <c r="Q284" s="75" t="e">
        <v>#N/A</v>
      </c>
    </row>
    <row r="285" spans="1:17">
      <c r="A285" s="77"/>
      <c r="B285" s="104"/>
      <c r="C285" s="193" t="e">
        <f>VLOOKUP(B285,'Tarifa 2025'!$B$103:$C$377,2,)</f>
        <v>#N/A</v>
      </c>
      <c r="D285" s="78"/>
      <c r="E285" s="78"/>
      <c r="F285" s="87"/>
      <c r="G285" s="78"/>
      <c r="J285" s="204">
        <v>290.92</v>
      </c>
      <c r="K285" s="78">
        <v>290.92</v>
      </c>
      <c r="L285" s="160">
        <v>45292</v>
      </c>
      <c r="O285" s="75" t="e">
        <v>#N/A</v>
      </c>
      <c r="P285" s="75" t="e">
        <v>#N/A</v>
      </c>
      <c r="Q285" s="75" t="e">
        <v>#N/A</v>
      </c>
    </row>
    <row r="286" spans="1:17">
      <c r="A286" s="77"/>
      <c r="B286" s="104"/>
      <c r="C286" s="193" t="e">
        <f>VLOOKUP(B286,'Tarifa 2025'!$B$103:$C$377,2,)</f>
        <v>#N/A</v>
      </c>
      <c r="D286" s="78"/>
      <c r="E286" s="78"/>
      <c r="F286" s="87"/>
      <c r="G286" s="78"/>
      <c r="J286" s="204">
        <v>264.99</v>
      </c>
      <c r="K286" s="78">
        <v>264.99</v>
      </c>
      <c r="L286" s="160">
        <v>45292</v>
      </c>
      <c r="O286" s="75" t="e">
        <v>#N/A</v>
      </c>
      <c r="P286" s="75" t="e">
        <v>#N/A</v>
      </c>
      <c r="Q286" s="75" t="e">
        <v>#N/A</v>
      </c>
    </row>
    <row r="287" spans="1:17">
      <c r="A287" s="77"/>
      <c r="B287" s="104"/>
      <c r="C287" s="193" t="e">
        <f>VLOOKUP(B287,'Tarifa 2025'!$B$103:$C$377,2,)</f>
        <v>#N/A</v>
      </c>
      <c r="D287" s="78"/>
      <c r="E287" s="78"/>
      <c r="F287" s="87"/>
      <c r="G287" s="78"/>
      <c r="J287" s="204"/>
      <c r="K287" s="78"/>
      <c r="L287" s="160">
        <v>45292</v>
      </c>
      <c r="O287" s="75" t="e">
        <v>#N/A</v>
      </c>
      <c r="P287" s="75" t="e">
        <v>#N/A</v>
      </c>
      <c r="Q287" s="75" t="e">
        <v>#N/A</v>
      </c>
    </row>
    <row r="288" spans="1:17">
      <c r="A288" s="77"/>
      <c r="B288" s="104"/>
      <c r="C288" s="193" t="e">
        <f>VLOOKUP(B288,'Tarifa 2025'!$B$103:$C$377,2,)</f>
        <v>#N/A</v>
      </c>
      <c r="D288" s="78"/>
      <c r="E288" s="78"/>
      <c r="F288" s="87"/>
      <c r="G288" s="78"/>
      <c r="J288" s="78"/>
      <c r="K288" s="78"/>
      <c r="L288" s="160">
        <v>45292</v>
      </c>
      <c r="O288" s="75" t="e">
        <v>#N/A</v>
      </c>
      <c r="P288" s="75" t="e">
        <v>#N/A</v>
      </c>
      <c r="Q288" s="75" t="e">
        <v>#N/A</v>
      </c>
    </row>
    <row r="289" spans="1:17">
      <c r="A289" s="77"/>
      <c r="B289" s="104"/>
      <c r="C289" s="193" t="e">
        <f>VLOOKUP(B289,'Tarifa 2025'!$B$103:$C$377,2,)</f>
        <v>#N/A</v>
      </c>
      <c r="D289" s="78"/>
      <c r="E289" s="78"/>
      <c r="F289" s="87"/>
      <c r="G289" s="78"/>
      <c r="J289" s="78">
        <v>24.05</v>
      </c>
      <c r="K289" s="78">
        <v>22.26</v>
      </c>
      <c r="L289" s="160">
        <v>45292</v>
      </c>
      <c r="O289" s="75" t="e">
        <v>#N/A</v>
      </c>
      <c r="P289" s="75" t="e">
        <v>#N/A</v>
      </c>
      <c r="Q289" s="75" t="e">
        <v>#N/A</v>
      </c>
    </row>
    <row r="290" spans="1:17">
      <c r="A290" s="77"/>
      <c r="B290" s="104"/>
      <c r="C290" s="193" t="e">
        <f>VLOOKUP(B290,'Tarifa 2025'!$B$103:$C$377,2,)</f>
        <v>#N/A</v>
      </c>
      <c r="D290" s="78"/>
      <c r="E290" s="78"/>
      <c r="F290" s="87"/>
      <c r="G290" s="78"/>
      <c r="J290" s="78">
        <v>14.1</v>
      </c>
      <c r="K290" s="78">
        <v>14.1</v>
      </c>
      <c r="L290" s="160">
        <v>45292</v>
      </c>
      <c r="O290" s="75" t="e">
        <v>#N/A</v>
      </c>
      <c r="P290" s="75" t="e">
        <v>#N/A</v>
      </c>
    </row>
    <row r="291" spans="1:17">
      <c r="A291" s="77"/>
      <c r="B291" s="104"/>
      <c r="C291" s="193" t="e">
        <f>VLOOKUP(B291,'Tarifa 2025'!$B$103:$C$377,2,)</f>
        <v>#N/A</v>
      </c>
      <c r="D291" s="78"/>
      <c r="E291" s="78"/>
      <c r="F291" s="87"/>
      <c r="G291" s="78"/>
      <c r="J291" s="78"/>
      <c r="K291" s="78"/>
      <c r="L291" s="160">
        <v>45292</v>
      </c>
      <c r="O291" s="75" t="e">
        <v>#N/A</v>
      </c>
      <c r="P291" s="75" t="e">
        <v>#N/A</v>
      </c>
    </row>
    <row r="292" spans="1:17">
      <c r="A292" s="77"/>
      <c r="B292" s="104"/>
      <c r="C292" s="193" t="e">
        <f>VLOOKUP(B292,'Tarifa 2025'!$B$103:$C$377,2,)</f>
        <v>#N/A</v>
      </c>
      <c r="D292" s="78"/>
      <c r="E292" s="78"/>
      <c r="F292" s="87"/>
      <c r="G292" s="78"/>
      <c r="J292" s="78">
        <v>52.53</v>
      </c>
      <c r="K292" s="78">
        <v>48.64</v>
      </c>
      <c r="L292" s="160">
        <v>45292</v>
      </c>
      <c r="O292" s="75" t="e">
        <v>#N/A</v>
      </c>
      <c r="P292" s="75" t="e">
        <v>#N/A</v>
      </c>
    </row>
    <row r="293" spans="1:17">
      <c r="A293" s="77"/>
      <c r="B293" s="104"/>
      <c r="C293" s="193" t="e">
        <f>VLOOKUP(B293,'Tarifa 2025'!$B$103:$C$377,2,)</f>
        <v>#N/A</v>
      </c>
      <c r="D293" s="78"/>
      <c r="E293" s="78"/>
      <c r="F293" s="87"/>
      <c r="G293" s="78"/>
      <c r="J293" s="78">
        <v>51.74</v>
      </c>
      <c r="K293" s="78">
        <v>47.91</v>
      </c>
      <c r="L293" s="160">
        <v>45292</v>
      </c>
      <c r="O293" s="75" t="e">
        <v>#N/A</v>
      </c>
      <c r="P293" s="75" t="e">
        <v>#N/A</v>
      </c>
    </row>
    <row r="294" spans="1:17">
      <c r="A294" s="77"/>
      <c r="B294" s="104"/>
      <c r="C294" s="193" t="e">
        <f>VLOOKUP(B294,'Tarifa 2025'!$B$103:$C$377,2,)</f>
        <v>#N/A</v>
      </c>
      <c r="D294" s="78"/>
      <c r="E294" s="78"/>
      <c r="F294" s="87"/>
      <c r="G294" s="78"/>
      <c r="J294" s="78">
        <v>62.14</v>
      </c>
      <c r="K294" s="78">
        <v>57.53</v>
      </c>
      <c r="L294" s="160">
        <v>45292</v>
      </c>
      <c r="O294" s="75" t="e">
        <v>#N/A</v>
      </c>
      <c r="P294" s="75" t="e">
        <v>#N/A</v>
      </c>
    </row>
    <row r="295" spans="1:17">
      <c r="A295" s="77"/>
      <c r="B295" s="104"/>
      <c r="C295" s="193" t="e">
        <f>VLOOKUP(B295,'Tarifa 2025'!$B$103:$C$377,2,)</f>
        <v>#N/A</v>
      </c>
      <c r="D295" s="78"/>
      <c r="E295" s="78"/>
      <c r="F295" s="87"/>
      <c r="G295" s="78"/>
      <c r="J295" s="78">
        <v>60.94</v>
      </c>
      <c r="K295" s="78">
        <v>56.42</v>
      </c>
      <c r="L295" s="160">
        <v>45292</v>
      </c>
      <c r="O295" s="75" t="e">
        <v>#N/A</v>
      </c>
      <c r="P295" s="75" t="e">
        <v>#N/A</v>
      </c>
    </row>
    <row r="296" spans="1:17">
      <c r="A296" s="77"/>
      <c r="B296" s="104"/>
      <c r="C296" s="193" t="e">
        <f>VLOOKUP(B296,'Tarifa 2025'!$B$103:$C$377,2,)</f>
        <v>#N/A</v>
      </c>
      <c r="D296" s="78"/>
      <c r="E296" s="78"/>
      <c r="F296" s="87"/>
      <c r="G296" s="78"/>
      <c r="J296" s="78"/>
      <c r="K296" s="78"/>
      <c r="L296" s="160">
        <v>45292</v>
      </c>
      <c r="O296" s="75" t="e">
        <v>#N/A</v>
      </c>
      <c r="P296" s="75" t="e">
        <v>#N/A</v>
      </c>
    </row>
    <row r="297" spans="1:17">
      <c r="A297" s="77"/>
      <c r="B297" s="104"/>
      <c r="C297" s="193" t="e">
        <f>VLOOKUP(B297,'Tarifa 2025'!$B$103:$C$377,2,)</f>
        <v>#N/A</v>
      </c>
      <c r="D297" s="78"/>
      <c r="E297" s="78"/>
      <c r="F297" s="87"/>
      <c r="G297" s="78"/>
      <c r="J297" s="78"/>
      <c r="K297" s="78"/>
      <c r="L297" s="160">
        <v>45292</v>
      </c>
      <c r="O297" s="75" t="e">
        <v>#N/A</v>
      </c>
      <c r="P297" s="75" t="e">
        <v>#N/A</v>
      </c>
    </row>
    <row r="298" spans="1:17">
      <c r="A298" s="77"/>
      <c r="B298" s="104"/>
      <c r="C298" s="193" t="e">
        <f>VLOOKUP(B298,'Tarifa 2025'!$B$103:$C$377,2,)</f>
        <v>#N/A</v>
      </c>
      <c r="D298" s="78"/>
      <c r="E298" s="78"/>
      <c r="F298" s="87"/>
      <c r="G298" s="78"/>
      <c r="J298" s="78"/>
      <c r="K298" s="78"/>
      <c r="L298" s="160">
        <v>45292</v>
      </c>
      <c r="O298" s="75" t="e">
        <v>#N/A</v>
      </c>
      <c r="P298" s="75" t="e">
        <v>#N/A</v>
      </c>
    </row>
    <row r="299" spans="1:17">
      <c r="A299" s="77"/>
      <c r="B299" s="104"/>
      <c r="C299" s="193" t="e">
        <f>VLOOKUP(B299,'Tarifa 2025'!$B$103:$C$377,2,)</f>
        <v>#N/A</v>
      </c>
      <c r="D299" s="78"/>
      <c r="E299" s="78"/>
      <c r="F299" s="87"/>
      <c r="G299" s="78"/>
      <c r="J299" s="78"/>
      <c r="K299" s="78"/>
      <c r="L299" s="160">
        <v>45292</v>
      </c>
      <c r="O299" s="75" t="e">
        <v>#N/A</v>
      </c>
      <c r="P299" s="75" t="e">
        <v>#N/A</v>
      </c>
    </row>
    <row r="300" spans="1:17">
      <c r="A300" s="77"/>
      <c r="B300" s="104"/>
      <c r="C300" s="193" t="e">
        <f>VLOOKUP(B300,'Tarifa 2025'!$B$103:$C$377,2,)</f>
        <v>#N/A</v>
      </c>
      <c r="D300" s="78"/>
      <c r="E300" s="78"/>
      <c r="F300" s="87"/>
      <c r="G300" s="78"/>
      <c r="J300" s="78"/>
      <c r="K300" s="78"/>
      <c r="L300" s="160">
        <v>45292</v>
      </c>
      <c r="O300" s="75" t="e">
        <v>#N/A</v>
      </c>
      <c r="P300" s="75" t="e">
        <v>#N/A</v>
      </c>
    </row>
    <row r="301" spans="1:17">
      <c r="A301" s="77"/>
      <c r="B301" s="104"/>
      <c r="C301" s="193" t="e">
        <f>VLOOKUP(B301,'Tarifa 2025'!$B$103:$C$377,2,)</f>
        <v>#N/A</v>
      </c>
      <c r="D301" s="78"/>
      <c r="E301" s="78"/>
      <c r="F301" s="87"/>
      <c r="G301" s="78"/>
      <c r="J301" s="78"/>
      <c r="K301" s="78"/>
      <c r="L301" s="160">
        <v>45292</v>
      </c>
      <c r="O301" s="75" t="e">
        <v>#N/A</v>
      </c>
      <c r="P301" s="75" t="e">
        <v>#N/A</v>
      </c>
    </row>
    <row r="302" spans="1:17">
      <c r="A302" s="77"/>
      <c r="B302" s="104"/>
      <c r="C302" s="193" t="e">
        <f>VLOOKUP(B302,'Tarifa 2025'!$B$103:$C$377,2,)</f>
        <v>#N/A</v>
      </c>
      <c r="D302" s="78"/>
      <c r="E302" s="78"/>
      <c r="F302" s="87"/>
      <c r="G302" s="78"/>
      <c r="J302" s="78"/>
      <c r="K302" s="78"/>
      <c r="L302" s="160">
        <v>45292</v>
      </c>
      <c r="O302" s="75" t="e">
        <v>#N/A</v>
      </c>
      <c r="P302" s="75" t="e">
        <v>#N/A</v>
      </c>
    </row>
    <row r="303" spans="1:17">
      <c r="A303" s="77"/>
      <c r="B303" s="104"/>
      <c r="C303" s="193" t="e">
        <f>VLOOKUP(B303,'Tarifa 2025'!$B$103:$C$377,2,)</f>
        <v>#N/A</v>
      </c>
      <c r="D303" s="78"/>
      <c r="E303" s="78"/>
      <c r="F303" s="87"/>
      <c r="G303" s="78"/>
      <c r="J303" s="78"/>
      <c r="K303" s="78"/>
      <c r="L303" s="160">
        <v>45292</v>
      </c>
      <c r="O303" s="75" t="e">
        <v>#N/A</v>
      </c>
      <c r="P303" s="75" t="e">
        <v>#N/A</v>
      </c>
    </row>
    <row r="304" spans="1:17">
      <c r="A304" s="77"/>
      <c r="B304" s="104"/>
      <c r="C304" s="193" t="e">
        <f>VLOOKUP(B304,'Tarifa 2025'!$B$103:$C$377,2,)</f>
        <v>#N/A</v>
      </c>
      <c r="D304" s="78"/>
      <c r="E304" s="78"/>
      <c r="F304" s="87"/>
      <c r="G304" s="78"/>
      <c r="J304" s="78"/>
      <c r="K304" s="78"/>
      <c r="L304" s="160">
        <v>45292</v>
      </c>
      <c r="O304" s="75" t="e">
        <v>#N/A</v>
      </c>
      <c r="P304" s="75" t="e">
        <v>#N/A</v>
      </c>
    </row>
    <row r="305" spans="1:16">
      <c r="A305" s="77"/>
      <c r="B305" s="104"/>
      <c r="C305" s="193" t="e">
        <f>VLOOKUP(B305,'Tarifa 2025'!$B$103:$C$377,2,)</f>
        <v>#N/A</v>
      </c>
      <c r="D305" s="78"/>
      <c r="E305" s="78"/>
      <c r="F305" s="87"/>
      <c r="G305" s="78"/>
      <c r="J305" s="78"/>
      <c r="K305" s="78"/>
      <c r="L305" s="160">
        <v>45292</v>
      </c>
      <c r="O305" s="75" t="e">
        <v>#N/A</v>
      </c>
      <c r="P305" s="75" t="e">
        <v>#N/A</v>
      </c>
    </row>
    <row r="306" spans="1:16">
      <c r="A306" s="77"/>
      <c r="B306" s="104"/>
      <c r="C306" s="193" t="e">
        <f>VLOOKUP(B306,'Tarifa 2025'!$B$103:$C$377,2,)</f>
        <v>#N/A</v>
      </c>
      <c r="D306" s="78"/>
      <c r="E306" s="78"/>
      <c r="F306" s="87"/>
      <c r="G306" s="78"/>
      <c r="J306" s="78"/>
      <c r="K306" s="78"/>
      <c r="L306" s="160">
        <v>45292</v>
      </c>
      <c r="O306" s="75" t="e">
        <v>#N/A</v>
      </c>
      <c r="P306" s="75" t="e">
        <v>#N/A</v>
      </c>
    </row>
    <row r="307" spans="1:16">
      <c r="A307" s="77"/>
      <c r="B307" s="104"/>
      <c r="C307" s="193" t="e">
        <f>VLOOKUP(B307,'Tarifa 2025'!$B$103:$C$377,2,)</f>
        <v>#N/A</v>
      </c>
      <c r="D307" s="78"/>
      <c r="E307" s="78"/>
      <c r="F307" s="87"/>
      <c r="G307" s="78"/>
      <c r="J307" s="78"/>
      <c r="K307" s="78"/>
      <c r="L307" s="160">
        <v>45292</v>
      </c>
      <c r="O307" s="75" t="e">
        <v>#N/A</v>
      </c>
      <c r="P307" s="75" t="e">
        <v>#N/A</v>
      </c>
    </row>
    <row r="308" spans="1:16">
      <c r="A308" s="77"/>
      <c r="B308" s="104"/>
      <c r="C308" s="193" t="e">
        <f>VLOOKUP(B308,'Tarifa 2025'!$B$103:$C$377,2,)</f>
        <v>#N/A</v>
      </c>
      <c r="D308" s="78"/>
      <c r="E308" s="78"/>
      <c r="F308" s="87"/>
      <c r="G308" s="78"/>
      <c r="J308" s="78"/>
      <c r="K308" s="78"/>
      <c r="L308" s="160">
        <v>45292</v>
      </c>
      <c r="O308" s="75" t="e">
        <v>#N/A</v>
      </c>
      <c r="P308" s="75" t="e">
        <v>#N/A</v>
      </c>
    </row>
    <row r="309" spans="1:16">
      <c r="A309" s="77"/>
      <c r="B309" s="104"/>
      <c r="C309" s="193" t="e">
        <f>VLOOKUP(B309,'Tarifa 2025'!$B$103:$C$377,2,)</f>
        <v>#N/A</v>
      </c>
      <c r="D309" s="78"/>
      <c r="E309" s="78"/>
      <c r="F309" s="87"/>
      <c r="G309" s="78"/>
      <c r="J309" s="78"/>
      <c r="K309" s="78"/>
      <c r="L309" s="160">
        <v>45292</v>
      </c>
      <c r="O309" s="75" t="e">
        <v>#N/A</v>
      </c>
      <c r="P309" s="75" t="e">
        <v>#N/A</v>
      </c>
    </row>
    <row r="310" spans="1:16">
      <c r="A310" s="77"/>
      <c r="B310" s="104"/>
      <c r="C310" s="193" t="e">
        <f>VLOOKUP(B310,'Tarifa 2025'!$B$103:$C$377,2,)</f>
        <v>#N/A</v>
      </c>
      <c r="D310" s="78"/>
      <c r="E310" s="78"/>
      <c r="F310" s="87"/>
      <c r="G310" s="78"/>
      <c r="J310" s="78"/>
      <c r="K310" s="78"/>
      <c r="L310" s="160">
        <v>45292</v>
      </c>
      <c r="O310" s="75" t="e">
        <v>#N/A</v>
      </c>
      <c r="P310" s="75" t="e">
        <v>#N/A</v>
      </c>
    </row>
    <row r="311" spans="1:16">
      <c r="A311" s="77"/>
      <c r="B311" s="104"/>
      <c r="C311" s="193" t="e">
        <f>VLOOKUP(B311,'Tarifa 2025'!$B$103:$C$377,2,)</f>
        <v>#N/A</v>
      </c>
      <c r="D311" s="78"/>
      <c r="E311" s="78"/>
      <c r="F311" s="87"/>
      <c r="G311" s="78"/>
      <c r="J311" s="78"/>
      <c r="K311" s="78"/>
      <c r="L311" s="160">
        <v>45292</v>
      </c>
      <c r="O311" s="75" t="e">
        <v>#N/A</v>
      </c>
      <c r="P311" s="75" t="e">
        <v>#N/A</v>
      </c>
    </row>
    <row r="312" spans="1:16">
      <c r="A312" s="77"/>
      <c r="B312" s="104"/>
      <c r="C312" s="193" t="e">
        <f>VLOOKUP(B312,'Tarifa 2025'!$B$103:$C$377,2,)</f>
        <v>#N/A</v>
      </c>
      <c r="D312" s="78"/>
      <c r="E312" s="78"/>
      <c r="F312" s="87"/>
      <c r="G312" s="78"/>
      <c r="J312" s="78"/>
      <c r="K312" s="78"/>
      <c r="L312" s="160">
        <v>45292</v>
      </c>
      <c r="O312" s="75" t="e">
        <v>#N/A</v>
      </c>
      <c r="P312" s="75" t="e">
        <v>#N/A</v>
      </c>
    </row>
    <row r="313" spans="1:16">
      <c r="A313" s="77"/>
      <c r="B313" s="104"/>
      <c r="C313" s="193" t="e">
        <f>VLOOKUP(B313,'Tarifa 2025'!$B$103:$C$377,2,)</f>
        <v>#N/A</v>
      </c>
      <c r="D313" s="78"/>
      <c r="E313" s="78"/>
      <c r="F313" s="87"/>
      <c r="G313" s="78"/>
      <c r="J313" s="78"/>
      <c r="K313" s="78"/>
      <c r="L313" s="160">
        <v>45292</v>
      </c>
      <c r="O313" s="75" t="e">
        <v>#N/A</v>
      </c>
      <c r="P313" s="75" t="e">
        <v>#N/A</v>
      </c>
    </row>
    <row r="314" spans="1:16">
      <c r="A314" s="77"/>
      <c r="B314" s="104"/>
      <c r="C314" s="193" t="e">
        <f>VLOOKUP(B314,'Tarifa 2025'!$B$103:$C$377,2,)</f>
        <v>#N/A</v>
      </c>
      <c r="D314" s="78"/>
      <c r="E314" s="78"/>
      <c r="F314" s="87"/>
      <c r="G314" s="78"/>
      <c r="J314" s="78"/>
      <c r="K314" s="78"/>
      <c r="L314" s="160">
        <v>45292</v>
      </c>
      <c r="O314" s="75" t="e">
        <v>#N/A</v>
      </c>
      <c r="P314" s="75" t="e">
        <v>#N/A</v>
      </c>
    </row>
    <row r="315" spans="1:16">
      <c r="A315" s="77"/>
      <c r="B315" s="104"/>
      <c r="C315" s="193" t="e">
        <f>VLOOKUP(B315,'Tarifa 2025'!$B$103:$C$377,2,)</f>
        <v>#N/A</v>
      </c>
      <c r="D315" s="78"/>
      <c r="E315" s="78"/>
      <c r="F315" s="87"/>
      <c r="G315" s="78"/>
      <c r="J315" s="78"/>
      <c r="K315" s="78"/>
      <c r="L315" s="160">
        <v>45292</v>
      </c>
      <c r="O315" s="75" t="e">
        <v>#N/A</v>
      </c>
      <c r="P315" s="75" t="e">
        <v>#N/A</v>
      </c>
    </row>
    <row r="316" spans="1:16">
      <c r="A316" s="77"/>
      <c r="B316" s="104"/>
      <c r="C316" s="193" t="e">
        <f>VLOOKUP(B316,'Tarifa 2025'!$B$103:$C$377,2,)</f>
        <v>#N/A</v>
      </c>
      <c r="D316" s="78"/>
      <c r="E316" s="78"/>
      <c r="F316" s="87"/>
      <c r="G316" s="78"/>
      <c r="J316" s="78"/>
      <c r="K316" s="78"/>
      <c r="L316" s="160">
        <v>45292</v>
      </c>
      <c r="O316" s="75" t="e">
        <v>#N/A</v>
      </c>
      <c r="P316" s="75" t="e">
        <v>#N/A</v>
      </c>
    </row>
    <row r="317" spans="1:16">
      <c r="A317" s="77"/>
      <c r="B317" s="104"/>
      <c r="C317" s="193" t="e">
        <f>VLOOKUP(B317,'Tarifa 2025'!$B$103:$C$377,2,)</f>
        <v>#N/A</v>
      </c>
      <c r="D317" s="78"/>
      <c r="E317" s="78"/>
      <c r="F317" s="87"/>
      <c r="G317" s="78"/>
      <c r="J317" s="78"/>
      <c r="K317" s="78"/>
      <c r="L317" s="160">
        <v>45292</v>
      </c>
      <c r="O317" s="75" t="e">
        <v>#N/A</v>
      </c>
      <c r="P317" s="75" t="e">
        <v>#N/A</v>
      </c>
    </row>
    <row r="318" spans="1:16">
      <c r="A318" s="77"/>
      <c r="B318" s="104"/>
      <c r="C318" s="193" t="e">
        <f>VLOOKUP(B318,'Tarifa 2025'!$B$103:$C$377,2,)</f>
        <v>#N/A</v>
      </c>
      <c r="D318" s="78"/>
      <c r="E318" s="78"/>
      <c r="F318" s="87"/>
      <c r="G318" s="78"/>
      <c r="J318" s="78"/>
      <c r="K318" s="78"/>
      <c r="L318" s="160">
        <v>45292</v>
      </c>
      <c r="O318" s="75" t="e">
        <v>#N/A</v>
      </c>
      <c r="P318" s="75" t="e">
        <v>#N/A</v>
      </c>
    </row>
    <row r="319" spans="1:16">
      <c r="A319" s="77"/>
      <c r="B319" s="104"/>
      <c r="C319" s="193" t="e">
        <f>VLOOKUP(B319,'Tarifa 2025'!$B$103:$C$377,2,)</f>
        <v>#N/A</v>
      </c>
      <c r="D319" s="78"/>
      <c r="E319" s="78"/>
      <c r="F319" s="87"/>
      <c r="G319" s="78"/>
      <c r="J319" s="78"/>
      <c r="K319" s="78"/>
      <c r="L319" s="160">
        <v>45292</v>
      </c>
      <c r="O319" s="75" t="e">
        <v>#N/A</v>
      </c>
      <c r="P319" s="75" t="e">
        <v>#N/A</v>
      </c>
    </row>
    <row r="320" spans="1:16">
      <c r="A320" s="77"/>
      <c r="B320" s="104"/>
      <c r="C320" s="193" t="e">
        <f>VLOOKUP(B320,'Tarifa 2025'!$B$103:$C$377,2,)</f>
        <v>#N/A</v>
      </c>
      <c r="D320" s="78"/>
      <c r="E320" s="78"/>
      <c r="F320" s="87"/>
      <c r="G320" s="78"/>
      <c r="J320" s="78"/>
      <c r="K320" s="78"/>
      <c r="L320" s="160">
        <v>45292</v>
      </c>
      <c r="O320" s="75" t="e">
        <v>#N/A</v>
      </c>
      <c r="P320" s="75" t="e">
        <v>#N/A</v>
      </c>
    </row>
    <row r="321" spans="1:16">
      <c r="A321" s="77"/>
      <c r="B321" s="104"/>
      <c r="C321" s="193" t="e">
        <f>VLOOKUP(B321,'Tarifa 2025'!$B$103:$C$377,2,)</f>
        <v>#N/A</v>
      </c>
      <c r="D321" s="78"/>
      <c r="E321" s="78"/>
      <c r="F321" s="87"/>
      <c r="G321" s="78"/>
      <c r="J321" s="78"/>
      <c r="K321" s="78"/>
      <c r="L321" s="160">
        <v>45292</v>
      </c>
      <c r="O321" s="75" t="e">
        <v>#N/A</v>
      </c>
      <c r="P321" s="75" t="e">
        <v>#N/A</v>
      </c>
    </row>
    <row r="322" spans="1:16">
      <c r="A322" s="77"/>
      <c r="B322" s="104"/>
      <c r="C322" s="193" t="e">
        <f>VLOOKUP(B322,'Tarifa 2025'!$B$103:$C$377,2,)</f>
        <v>#N/A</v>
      </c>
      <c r="D322" s="78"/>
      <c r="E322" s="78"/>
      <c r="F322" s="87"/>
      <c r="G322" s="78"/>
      <c r="J322" s="78"/>
      <c r="K322" s="78"/>
      <c r="L322" s="160">
        <v>45292</v>
      </c>
      <c r="O322" s="75" t="e">
        <v>#N/A</v>
      </c>
      <c r="P322" s="75" t="e">
        <v>#N/A</v>
      </c>
    </row>
    <row r="323" spans="1:16">
      <c r="A323" s="77"/>
      <c r="B323" s="104"/>
      <c r="C323" s="193" t="e">
        <f>VLOOKUP(B323,'Tarifa 2025'!$B$103:$C$377,2,)</f>
        <v>#N/A</v>
      </c>
      <c r="D323" s="78"/>
      <c r="E323" s="78"/>
      <c r="F323" s="87"/>
      <c r="G323" s="78"/>
      <c r="J323" s="78"/>
      <c r="K323" s="78"/>
      <c r="L323" s="160">
        <v>45292</v>
      </c>
      <c r="O323" s="75" t="e">
        <v>#N/A</v>
      </c>
      <c r="P323" s="75" t="e">
        <v>#N/A</v>
      </c>
    </row>
    <row r="324" spans="1:16">
      <c r="A324" s="77"/>
      <c r="B324" s="104"/>
      <c r="C324" s="193" t="e">
        <f>VLOOKUP(B324,'Tarifa 2025'!$B$103:$C$377,2,)</f>
        <v>#N/A</v>
      </c>
      <c r="D324" s="78"/>
      <c r="E324" s="78"/>
      <c r="F324" s="87"/>
      <c r="G324" s="78"/>
      <c r="J324" s="78"/>
      <c r="K324" s="78"/>
      <c r="L324" s="160">
        <v>45292</v>
      </c>
      <c r="O324" s="75" t="e">
        <v>#N/A</v>
      </c>
      <c r="P324" s="75" t="e">
        <v>#N/A</v>
      </c>
    </row>
    <row r="325" spans="1:16">
      <c r="A325" s="77"/>
      <c r="B325" s="104"/>
      <c r="C325" s="193" t="e">
        <f>VLOOKUP(B325,'Tarifa 2025'!$B$103:$C$377,2,)</f>
        <v>#N/A</v>
      </c>
      <c r="D325" s="78"/>
      <c r="E325" s="78"/>
      <c r="F325" s="87"/>
      <c r="G325" s="78"/>
      <c r="J325" s="78"/>
      <c r="K325" s="78"/>
      <c r="L325" s="160">
        <v>45292</v>
      </c>
      <c r="O325" s="75" t="e">
        <v>#N/A</v>
      </c>
      <c r="P325" s="75" t="e">
        <v>#N/A</v>
      </c>
    </row>
    <row r="326" spans="1:16">
      <c r="A326" s="77"/>
      <c r="B326" s="104"/>
      <c r="C326" s="193" t="e">
        <f>VLOOKUP(B326,'Tarifa 2025'!$B$103:$C$377,2,)</f>
        <v>#N/A</v>
      </c>
      <c r="D326" s="78"/>
      <c r="E326" s="78"/>
      <c r="F326" s="87"/>
      <c r="G326" s="78"/>
      <c r="J326" s="78"/>
      <c r="K326" s="78"/>
      <c r="L326" s="160">
        <v>45292</v>
      </c>
      <c r="O326" s="75" t="e">
        <v>#N/A</v>
      </c>
      <c r="P326" s="75" t="e">
        <v>#N/A</v>
      </c>
    </row>
    <row r="327" spans="1:16">
      <c r="A327" s="77"/>
      <c r="B327" s="104"/>
      <c r="C327" s="193" t="e">
        <f>VLOOKUP(B327,'Tarifa 2025'!$B$103:$C$377,2,)</f>
        <v>#N/A</v>
      </c>
      <c r="D327" s="78"/>
      <c r="E327" s="78"/>
      <c r="F327" s="87"/>
      <c r="G327" s="78"/>
      <c r="J327" s="78"/>
      <c r="K327" s="78"/>
      <c r="L327" s="160">
        <v>45292</v>
      </c>
      <c r="O327" s="75" t="e">
        <v>#N/A</v>
      </c>
      <c r="P327" s="75" t="e">
        <v>#N/A</v>
      </c>
    </row>
    <row r="328" spans="1:16">
      <c r="A328" s="77"/>
      <c r="B328" s="104"/>
      <c r="C328" s="193" t="e">
        <f>VLOOKUP(B328,'Tarifa 2025'!$B$103:$C$377,2,)</f>
        <v>#N/A</v>
      </c>
      <c r="D328" s="78"/>
      <c r="E328" s="78"/>
      <c r="F328" s="87"/>
      <c r="G328" s="78"/>
      <c r="J328" s="78"/>
      <c r="K328" s="78"/>
      <c r="L328" s="160">
        <v>45292</v>
      </c>
      <c r="O328" s="75" t="e">
        <v>#N/A</v>
      </c>
      <c r="P328" s="75" t="e">
        <v>#N/A</v>
      </c>
    </row>
    <row r="329" spans="1:16">
      <c r="A329" s="77"/>
      <c r="B329" s="104"/>
      <c r="C329" s="78"/>
      <c r="D329" s="78"/>
      <c r="E329" s="78"/>
      <c r="F329" s="87"/>
      <c r="G329" s="78"/>
      <c r="J329" s="78"/>
      <c r="K329" s="78"/>
      <c r="O329" s="75" t="e">
        <v>#N/A</v>
      </c>
      <c r="P329" s="75" t="e">
        <v>#N/A</v>
      </c>
    </row>
    <row r="330" spans="1:16">
      <c r="A330" s="77"/>
      <c r="B330" s="104"/>
      <c r="C330" s="78"/>
      <c r="D330" s="78"/>
      <c r="E330" s="78"/>
      <c r="F330" s="87"/>
      <c r="G330" s="78"/>
      <c r="J330" s="78"/>
      <c r="K330" s="78"/>
      <c r="O330" s="75" t="e">
        <v>#N/A</v>
      </c>
      <c r="P330" s="75" t="e">
        <v>#N/A</v>
      </c>
    </row>
    <row r="331" spans="1:16">
      <c r="A331" s="77"/>
      <c r="B331" s="104"/>
      <c r="C331" s="78"/>
      <c r="D331" s="78"/>
      <c r="E331" s="78"/>
      <c r="F331" s="87"/>
      <c r="G331" s="78"/>
      <c r="J331" s="78"/>
      <c r="K331" s="78"/>
      <c r="O331" s="75" t="e">
        <v>#N/A</v>
      </c>
      <c r="P331" s="75" t="e">
        <v>#N/A</v>
      </c>
    </row>
    <row r="332" spans="1:16">
      <c r="A332" s="77"/>
      <c r="B332" s="104"/>
      <c r="C332" s="78"/>
      <c r="D332" s="78"/>
      <c r="E332" s="78"/>
      <c r="F332" s="87"/>
      <c r="G332" s="78"/>
      <c r="J332" s="78"/>
      <c r="K332" s="78"/>
      <c r="O332" s="75" t="e">
        <v>#N/A</v>
      </c>
    </row>
    <row r="333" spans="1:16">
      <c r="A333" s="77"/>
      <c r="B333" s="104"/>
      <c r="C333" s="78"/>
      <c r="D333" s="78"/>
      <c r="E333" s="78"/>
      <c r="F333" s="87"/>
      <c r="G333" s="78"/>
      <c r="J333" s="78"/>
      <c r="K333" s="78"/>
      <c r="O333" s="75" t="e">
        <v>#N/A</v>
      </c>
    </row>
    <row r="334" spans="1:16">
      <c r="A334" s="77"/>
      <c r="B334" s="104"/>
      <c r="C334" s="78"/>
      <c r="D334" s="78"/>
      <c r="E334" s="78"/>
      <c r="F334" s="87"/>
      <c r="G334" s="78"/>
      <c r="J334" s="78"/>
      <c r="K334" s="78"/>
      <c r="O334" s="75" t="e">
        <v>#N/A</v>
      </c>
    </row>
    <row r="335" spans="1:16">
      <c r="A335" s="77"/>
      <c r="B335" s="104"/>
      <c r="C335" s="78"/>
      <c r="D335" s="78"/>
      <c r="E335" s="78"/>
      <c r="F335" s="87"/>
      <c r="G335" s="78"/>
      <c r="J335" s="78"/>
      <c r="K335" s="78"/>
    </row>
    <row r="336" spans="1:16">
      <c r="A336" s="77"/>
      <c r="B336" s="104"/>
      <c r="C336" s="78"/>
      <c r="D336" s="78"/>
      <c r="E336" s="78"/>
      <c r="F336" s="87"/>
      <c r="G336" s="78"/>
      <c r="J336" s="78"/>
      <c r="K336" s="78"/>
    </row>
    <row r="337" spans="1:11">
      <c r="A337" s="77"/>
      <c r="B337" s="104"/>
      <c r="C337" s="78"/>
      <c r="D337" s="78"/>
      <c r="E337" s="78"/>
      <c r="F337" s="87"/>
      <c r="G337" s="78"/>
      <c r="J337" s="78"/>
      <c r="K337" s="78"/>
    </row>
    <row r="338" spans="1:11">
      <c r="A338" s="77"/>
      <c r="B338" s="104"/>
      <c r="C338" s="78"/>
      <c r="D338" s="78"/>
      <c r="E338" s="78"/>
      <c r="F338" s="87"/>
      <c r="G338" s="78"/>
      <c r="J338" s="78"/>
      <c r="K338" s="78"/>
    </row>
    <row r="339" spans="1:11">
      <c r="A339" s="77"/>
      <c r="B339" s="104"/>
      <c r="C339" s="78"/>
      <c r="D339" s="78"/>
      <c r="E339" s="78"/>
      <c r="F339" s="87"/>
      <c r="G339" s="78"/>
      <c r="J339" s="78"/>
      <c r="K339" s="78"/>
    </row>
    <row r="340" spans="1:11">
      <c r="A340" s="77"/>
      <c r="B340" s="104"/>
      <c r="C340" s="78"/>
      <c r="D340" s="78"/>
      <c r="E340" s="78"/>
      <c r="F340" s="87"/>
      <c r="G340" s="78"/>
      <c r="J340" s="78"/>
      <c r="K340" s="78"/>
    </row>
    <row r="341" spans="1:11">
      <c r="A341" s="77"/>
      <c r="B341" s="104"/>
      <c r="C341" s="78"/>
      <c r="D341" s="78"/>
      <c r="E341" s="78"/>
      <c r="F341" s="87"/>
      <c r="G341" s="78"/>
      <c r="J341" s="78"/>
      <c r="K341" s="78"/>
    </row>
    <row r="342" spans="1:11">
      <c r="A342" s="77"/>
      <c r="B342" s="104"/>
      <c r="C342" s="78"/>
      <c r="D342" s="78"/>
      <c r="E342" s="78"/>
      <c r="F342" s="87"/>
      <c r="G342" s="78"/>
      <c r="J342" s="78"/>
      <c r="K342" s="78"/>
    </row>
    <row r="343" spans="1:11">
      <c r="A343" s="77"/>
      <c r="B343" s="104"/>
      <c r="C343" s="78"/>
      <c r="D343" s="78"/>
      <c r="E343" s="78"/>
      <c r="F343" s="87"/>
      <c r="G343" s="78"/>
      <c r="J343" s="78"/>
      <c r="K343" s="78"/>
    </row>
    <row r="344" spans="1:11">
      <c r="A344" s="77"/>
      <c r="B344" s="104"/>
      <c r="C344" s="78"/>
      <c r="D344" s="78"/>
      <c r="E344" s="78"/>
      <c r="F344" s="87"/>
      <c r="G344" s="78"/>
      <c r="J344" s="78"/>
      <c r="K344" s="78"/>
    </row>
    <row r="345" spans="1:11">
      <c r="A345" s="77"/>
      <c r="B345" s="104"/>
      <c r="C345" s="78"/>
      <c r="D345" s="78"/>
      <c r="E345" s="78"/>
      <c r="F345" s="87"/>
      <c r="G345" s="78"/>
      <c r="J345" s="78"/>
      <c r="K345" s="78"/>
    </row>
    <row r="346" spans="1:11">
      <c r="A346" s="77"/>
      <c r="B346" s="104"/>
      <c r="C346" s="78"/>
      <c r="D346" s="78"/>
      <c r="E346" s="78"/>
      <c r="F346" s="87"/>
      <c r="G346" s="78"/>
      <c r="J346" s="78"/>
      <c r="K346" s="78"/>
    </row>
    <row r="347" spans="1:11">
      <c r="A347" s="77"/>
      <c r="B347" s="104"/>
      <c r="C347" s="78"/>
      <c r="D347" s="78"/>
      <c r="E347" s="78"/>
      <c r="F347" s="87"/>
      <c r="G347" s="78"/>
      <c r="J347" s="78"/>
      <c r="K347" s="78"/>
    </row>
    <row r="348" spans="1:11">
      <c r="A348" s="77"/>
      <c r="B348" s="104"/>
      <c r="C348" s="78"/>
      <c r="D348" s="78"/>
      <c r="E348" s="78"/>
      <c r="F348" s="87"/>
      <c r="G348" s="78"/>
      <c r="J348" s="78"/>
      <c r="K348" s="78"/>
    </row>
    <row r="349" spans="1:11">
      <c r="A349" s="77"/>
      <c r="B349" s="104"/>
      <c r="C349" s="78"/>
      <c r="D349" s="78"/>
      <c r="E349" s="78"/>
      <c r="F349" s="87"/>
      <c r="G349" s="78"/>
      <c r="J349" s="78"/>
      <c r="K349" s="78"/>
    </row>
    <row r="350" spans="1:11">
      <c r="A350" s="77"/>
      <c r="B350" s="104"/>
      <c r="C350" s="78"/>
      <c r="D350" s="78"/>
      <c r="E350" s="78"/>
      <c r="F350" s="87"/>
      <c r="G350" s="78"/>
      <c r="J350" s="78"/>
      <c r="K350" s="78"/>
    </row>
    <row r="351" spans="1:11">
      <c r="A351" s="77"/>
      <c r="B351" s="104"/>
      <c r="C351" s="78"/>
      <c r="D351" s="78"/>
      <c r="E351" s="78"/>
      <c r="F351" s="87"/>
      <c r="G351" s="78"/>
      <c r="J351" s="78"/>
      <c r="K351" s="78"/>
    </row>
    <row r="352" spans="1:11">
      <c r="A352" s="77"/>
      <c r="B352" s="104"/>
      <c r="C352" s="78"/>
      <c r="D352" s="78"/>
      <c r="E352" s="78"/>
      <c r="F352" s="87"/>
      <c r="G352" s="78"/>
      <c r="J352" s="78"/>
      <c r="K352" s="78"/>
    </row>
    <row r="353" spans="1:11">
      <c r="A353" s="77"/>
      <c r="B353" s="104"/>
      <c r="C353" s="78"/>
      <c r="D353" s="78"/>
      <c r="E353" s="78"/>
      <c r="F353" s="87"/>
      <c r="G353" s="78"/>
      <c r="J353" s="78"/>
      <c r="K353" s="78"/>
    </row>
    <row r="354" spans="1:11">
      <c r="A354" s="77"/>
      <c r="B354" s="104"/>
      <c r="C354" s="78"/>
      <c r="D354" s="78"/>
      <c r="E354" s="78"/>
      <c r="F354" s="87"/>
      <c r="G354" s="78"/>
      <c r="J354" s="78"/>
      <c r="K354" s="78"/>
    </row>
    <row r="355" spans="1:11">
      <c r="A355" s="77"/>
      <c r="B355" s="104"/>
      <c r="C355" s="78"/>
      <c r="D355" s="78"/>
      <c r="E355" s="78"/>
      <c r="F355" s="87"/>
      <c r="G355" s="78"/>
      <c r="J355" s="78"/>
      <c r="K355" s="78"/>
    </row>
    <row r="356" spans="1:11">
      <c r="A356" s="77"/>
      <c r="B356" s="104"/>
      <c r="C356" s="78"/>
      <c r="D356" s="78"/>
      <c r="E356" s="78"/>
      <c r="F356" s="87"/>
      <c r="G356" s="78"/>
      <c r="J356" s="78"/>
      <c r="K356" s="78"/>
    </row>
    <row r="357" spans="1:11">
      <c r="A357" s="77"/>
      <c r="B357" s="104"/>
      <c r="C357" s="78"/>
      <c r="D357" s="78"/>
      <c r="E357" s="78"/>
      <c r="F357" s="87"/>
      <c r="G357" s="78"/>
      <c r="J357" s="78"/>
      <c r="K357" s="78"/>
    </row>
    <row r="358" spans="1:11">
      <c r="A358" s="77"/>
      <c r="B358" s="104"/>
      <c r="C358" s="78"/>
      <c r="D358" s="78"/>
      <c r="E358" s="78"/>
      <c r="F358" s="87"/>
      <c r="G358" s="78"/>
      <c r="J358" s="78"/>
      <c r="K358" s="78"/>
    </row>
    <row r="359" spans="1:11">
      <c r="A359" s="77"/>
      <c r="B359" s="104"/>
      <c r="C359" s="78"/>
      <c r="D359" s="78"/>
      <c r="E359" s="78"/>
      <c r="F359" s="87"/>
      <c r="G359" s="78"/>
      <c r="J359" s="78"/>
      <c r="K359" s="78"/>
    </row>
    <row r="360" spans="1:11">
      <c r="A360" s="77"/>
      <c r="B360" s="104"/>
      <c r="C360" s="78"/>
      <c r="D360" s="78"/>
      <c r="E360" s="78"/>
      <c r="F360" s="87"/>
      <c r="G360" s="78"/>
      <c r="J360" s="78"/>
      <c r="K360" s="78"/>
    </row>
    <row r="361" spans="1:11">
      <c r="A361" s="77"/>
      <c r="B361" s="104"/>
      <c r="C361" s="78"/>
      <c r="D361" s="78"/>
      <c r="E361" s="78"/>
      <c r="F361" s="87"/>
      <c r="G361" s="78"/>
      <c r="J361" s="78"/>
      <c r="K361" s="78"/>
    </row>
    <row r="362" spans="1:11">
      <c r="A362" s="77"/>
      <c r="B362" s="104"/>
      <c r="C362" s="78"/>
      <c r="D362" s="78"/>
      <c r="E362" s="78"/>
      <c r="F362" s="87"/>
      <c r="G362" s="78"/>
      <c r="J362" s="78"/>
      <c r="K362" s="78"/>
    </row>
    <row r="363" spans="1:11">
      <c r="A363" s="77"/>
      <c r="B363" s="104"/>
      <c r="C363" s="78"/>
      <c r="D363" s="78"/>
      <c r="E363" s="78"/>
      <c r="F363" s="87"/>
      <c r="G363" s="78"/>
      <c r="J363" s="78"/>
      <c r="K363" s="78"/>
    </row>
    <row r="364" spans="1:11">
      <c r="A364" s="77"/>
      <c r="B364" s="104"/>
      <c r="C364" s="78"/>
      <c r="D364" s="78"/>
      <c r="E364" s="78"/>
      <c r="F364" s="87"/>
      <c r="G364" s="78"/>
      <c r="J364" s="78"/>
      <c r="K364" s="78"/>
    </row>
    <row r="365" spans="1:11">
      <c r="A365" s="77"/>
      <c r="B365" s="104"/>
      <c r="C365" s="78"/>
      <c r="D365" s="78"/>
      <c r="E365" s="78"/>
      <c r="F365" s="87"/>
      <c r="G365" s="78"/>
      <c r="J365" s="78"/>
      <c r="K365" s="78"/>
    </row>
    <row r="366" spans="1:11">
      <c r="A366" s="77"/>
      <c r="B366" s="104"/>
      <c r="C366" s="78"/>
      <c r="D366" s="78"/>
      <c r="E366" s="78"/>
      <c r="F366" s="87"/>
      <c r="G366" s="78"/>
      <c r="J366" s="78"/>
      <c r="K366" s="78"/>
    </row>
    <row r="367" spans="1:11">
      <c r="A367" s="77"/>
      <c r="B367" s="104"/>
      <c r="C367" s="78"/>
      <c r="D367" s="78"/>
      <c r="E367" s="78"/>
      <c r="F367" s="87"/>
      <c r="G367" s="78"/>
      <c r="J367" s="78"/>
      <c r="K367" s="78"/>
    </row>
    <row r="368" spans="1:11">
      <c r="A368" s="77"/>
      <c r="B368" s="104"/>
      <c r="C368" s="78"/>
      <c r="D368" s="78"/>
      <c r="E368" s="78"/>
      <c r="F368" s="87"/>
      <c r="G368" s="78"/>
      <c r="J368" s="78"/>
      <c r="K368" s="78"/>
    </row>
    <row r="369" spans="1:11">
      <c r="A369" s="77"/>
      <c r="B369" s="104"/>
      <c r="C369" s="78"/>
      <c r="D369" s="78"/>
      <c r="E369" s="78"/>
      <c r="F369" s="87"/>
      <c r="G369" s="78"/>
      <c r="J369" s="78"/>
      <c r="K369" s="78"/>
    </row>
    <row r="370" spans="1:11">
      <c r="A370" s="77"/>
      <c r="B370" s="104"/>
      <c r="C370" s="78"/>
      <c r="D370" s="78"/>
      <c r="E370" s="78"/>
      <c r="F370" s="87"/>
      <c r="G370" s="78"/>
      <c r="J370" s="78"/>
      <c r="K370" s="78"/>
    </row>
    <row r="371" spans="1:11">
      <c r="A371" s="77"/>
      <c r="B371" s="104"/>
      <c r="C371" s="78"/>
      <c r="D371" s="78"/>
      <c r="E371" s="78"/>
      <c r="F371" s="87"/>
      <c r="G371" s="78"/>
      <c r="J371" s="78"/>
      <c r="K371" s="78"/>
    </row>
    <row r="372" spans="1:11">
      <c r="A372" s="77"/>
      <c r="B372" s="104"/>
      <c r="C372" s="78"/>
      <c r="D372" s="78"/>
      <c r="E372" s="78"/>
      <c r="F372" s="87"/>
      <c r="G372" s="78"/>
      <c r="J372" s="78"/>
      <c r="K372" s="78"/>
    </row>
    <row r="373" spans="1:11">
      <c r="A373" s="77"/>
      <c r="B373" s="104"/>
      <c r="C373" s="78"/>
      <c r="D373" s="78"/>
      <c r="E373" s="78"/>
      <c r="F373" s="87"/>
      <c r="G373" s="78"/>
      <c r="J373" s="78"/>
      <c r="K373" s="78"/>
    </row>
    <row r="374" spans="1:11">
      <c r="A374" s="77"/>
      <c r="B374" s="104"/>
      <c r="C374" s="78"/>
      <c r="D374" s="78"/>
      <c r="E374" s="78"/>
      <c r="F374" s="87"/>
      <c r="G374" s="78"/>
      <c r="J374" s="78"/>
      <c r="K374" s="78"/>
    </row>
    <row r="375" spans="1:11">
      <c r="A375" s="77"/>
      <c r="B375" s="104"/>
      <c r="C375" s="78"/>
      <c r="D375" s="78"/>
      <c r="E375" s="78"/>
      <c r="F375" s="87"/>
      <c r="G375" s="78"/>
      <c r="J375" s="78"/>
      <c r="K375" s="78"/>
    </row>
    <row r="376" spans="1:11">
      <c r="A376" s="77"/>
      <c r="B376" s="104"/>
      <c r="C376" s="78"/>
      <c r="D376" s="78"/>
      <c r="E376" s="78"/>
      <c r="F376" s="87"/>
      <c r="G376" s="78"/>
      <c r="J376" s="78"/>
      <c r="K376" s="78"/>
    </row>
    <row r="377" spans="1:11">
      <c r="A377" s="77"/>
      <c r="B377" s="104"/>
      <c r="C377" s="78"/>
      <c r="D377" s="78"/>
      <c r="E377" s="78"/>
      <c r="F377" s="87"/>
      <c r="G377" s="78"/>
      <c r="J377" s="78"/>
      <c r="K377" s="78"/>
    </row>
    <row r="378" spans="1:11">
      <c r="A378" s="77"/>
      <c r="B378" s="104"/>
      <c r="C378" s="78"/>
      <c r="D378" s="78"/>
      <c r="E378" s="78"/>
      <c r="F378" s="87"/>
      <c r="G378" s="78"/>
      <c r="J378" s="78"/>
      <c r="K378" s="78"/>
    </row>
    <row r="379" spans="1:11">
      <c r="A379" s="77"/>
      <c r="B379" s="104"/>
      <c r="C379" s="78"/>
      <c r="D379" s="78"/>
      <c r="E379" s="78"/>
      <c r="F379" s="87"/>
      <c r="G379" s="78"/>
      <c r="J379" s="78"/>
      <c r="K379" s="78"/>
    </row>
    <row r="380" spans="1:11">
      <c r="A380" s="77"/>
      <c r="B380" s="104"/>
      <c r="C380" s="78"/>
      <c r="D380" s="78"/>
      <c r="E380" s="78"/>
      <c r="F380" s="87"/>
      <c r="G380" s="78"/>
      <c r="J380" s="78"/>
      <c r="K380" s="78"/>
    </row>
    <row r="381" spans="1:11">
      <c r="A381" s="77"/>
      <c r="B381" s="104"/>
      <c r="C381" s="78"/>
      <c r="D381" s="78"/>
      <c r="E381" s="78"/>
      <c r="F381" s="87"/>
      <c r="G381" s="78"/>
      <c r="J381" s="78"/>
      <c r="K381" s="78"/>
    </row>
    <row r="382" spans="1:11">
      <c r="A382" s="77"/>
      <c r="B382" s="104"/>
      <c r="C382" s="78"/>
      <c r="D382" s="78"/>
      <c r="E382" s="78"/>
      <c r="F382" s="87"/>
      <c r="G382" s="78"/>
      <c r="J382" s="78"/>
      <c r="K382" s="78"/>
    </row>
    <row r="383" spans="1:11">
      <c r="A383" s="77"/>
      <c r="B383" s="104"/>
      <c r="C383" s="78"/>
      <c r="D383" s="78"/>
      <c r="E383" s="78"/>
      <c r="F383" s="87"/>
      <c r="G383" s="78"/>
      <c r="J383" s="78"/>
      <c r="K383" s="78"/>
    </row>
    <row r="384" spans="1:11">
      <c r="A384" s="77"/>
      <c r="B384" s="104"/>
      <c r="C384" s="78"/>
      <c r="D384" s="78"/>
      <c r="E384" s="78"/>
      <c r="F384" s="87"/>
      <c r="G384" s="78"/>
      <c r="J384" s="78"/>
      <c r="K384" s="78"/>
    </row>
    <row r="385" spans="1:11">
      <c r="A385" s="77"/>
      <c r="B385" s="104"/>
      <c r="C385" s="78"/>
      <c r="D385" s="78"/>
      <c r="E385" s="78"/>
      <c r="F385" s="87"/>
      <c r="G385" s="78"/>
      <c r="J385" s="78"/>
      <c r="K385" s="78"/>
    </row>
    <row r="386" spans="1:11">
      <c r="A386" s="77"/>
      <c r="B386" s="104"/>
      <c r="C386" s="78"/>
      <c r="D386" s="78"/>
      <c r="E386" s="78"/>
      <c r="F386" s="87"/>
      <c r="G386" s="78"/>
      <c r="J386" s="78"/>
      <c r="K386" s="78"/>
    </row>
    <row r="387" spans="1:11">
      <c r="A387" s="77"/>
      <c r="B387" s="104"/>
      <c r="C387" s="78"/>
      <c r="D387" s="78"/>
      <c r="E387" s="78"/>
      <c r="F387" s="87"/>
      <c r="G387" s="78"/>
      <c r="J387" s="78"/>
      <c r="K387" s="78"/>
    </row>
    <row r="388" spans="1:11">
      <c r="A388" s="77"/>
      <c r="B388" s="104"/>
      <c r="C388" s="78"/>
      <c r="D388" s="78"/>
      <c r="E388" s="78"/>
      <c r="F388" s="87"/>
      <c r="G388" s="78"/>
      <c r="J388" s="78"/>
      <c r="K388" s="78"/>
    </row>
    <row r="389" spans="1:11">
      <c r="A389" s="77"/>
      <c r="B389" s="104"/>
      <c r="C389" s="78"/>
      <c r="D389" s="78"/>
      <c r="E389" s="78"/>
      <c r="F389" s="87"/>
      <c r="G389" s="78"/>
      <c r="J389" s="78"/>
      <c r="K389" s="78"/>
    </row>
    <row r="390" spans="1:11">
      <c r="A390" s="77"/>
      <c r="B390" s="104"/>
      <c r="C390" s="78"/>
      <c r="D390" s="78"/>
      <c r="E390" s="78"/>
      <c r="F390" s="87"/>
      <c r="G390" s="78"/>
      <c r="J390" s="78"/>
      <c r="K390" s="78"/>
    </row>
    <row r="391" spans="1:11">
      <c r="A391" s="77"/>
      <c r="B391" s="104"/>
      <c r="C391" s="78"/>
      <c r="D391" s="78"/>
      <c r="E391" s="78"/>
      <c r="F391" s="87"/>
      <c r="G391" s="78"/>
      <c r="J391" s="78"/>
      <c r="K391" s="78"/>
    </row>
    <row r="392" spans="1:11">
      <c r="A392" s="77"/>
      <c r="B392" s="104"/>
      <c r="C392" s="78"/>
      <c r="D392" s="78"/>
      <c r="E392" s="78"/>
      <c r="F392" s="87"/>
      <c r="G392" s="78"/>
      <c r="J392" s="78"/>
      <c r="K392" s="78"/>
    </row>
    <row r="393" spans="1:11">
      <c r="A393" s="77"/>
      <c r="B393" s="104"/>
      <c r="C393" s="78"/>
      <c r="D393" s="78"/>
      <c r="E393" s="78"/>
      <c r="F393" s="87"/>
      <c r="G393" s="78"/>
      <c r="J393" s="78"/>
      <c r="K393" s="78"/>
    </row>
    <row r="394" spans="1:11">
      <c r="A394" s="77"/>
      <c r="B394" s="104"/>
      <c r="C394" s="78"/>
      <c r="D394" s="78"/>
      <c r="E394" s="78"/>
      <c r="F394" s="87"/>
      <c r="G394" s="78"/>
      <c r="J394" s="78"/>
      <c r="K394" s="78"/>
    </row>
    <row r="395" spans="1:11">
      <c r="A395" s="77"/>
      <c r="B395" s="104"/>
      <c r="C395" s="78"/>
      <c r="D395" s="78"/>
      <c r="E395" s="78"/>
      <c r="F395" s="87"/>
      <c r="G395" s="78"/>
      <c r="J395" s="78"/>
      <c r="K395" s="78"/>
    </row>
    <row r="396" spans="1:11">
      <c r="A396" s="77"/>
      <c r="B396" s="104"/>
      <c r="C396" s="78"/>
      <c r="D396" s="78"/>
      <c r="E396" s="78"/>
      <c r="F396" s="87"/>
      <c r="G396" s="78"/>
      <c r="J396" s="78"/>
      <c r="K396" s="78"/>
    </row>
    <row r="397" spans="1:11">
      <c r="A397" s="77"/>
      <c r="B397" s="104"/>
      <c r="C397" s="78"/>
      <c r="D397" s="78"/>
      <c r="E397" s="78"/>
      <c r="F397" s="87"/>
      <c r="G397" s="78"/>
      <c r="J397" s="78"/>
      <c r="K397" s="78"/>
    </row>
    <row r="398" spans="1:11">
      <c r="A398" s="77"/>
      <c r="B398" s="104"/>
      <c r="C398" s="78"/>
      <c r="D398" s="78"/>
      <c r="E398" s="78"/>
      <c r="F398" s="87"/>
      <c r="G398" s="78"/>
      <c r="J398" s="78"/>
      <c r="K398" s="78"/>
    </row>
    <row r="399" spans="1:11">
      <c r="A399" s="77"/>
      <c r="B399" s="104"/>
      <c r="C399" s="78"/>
      <c r="D399" s="78"/>
      <c r="E399" s="78"/>
      <c r="F399" s="87"/>
      <c r="G399" s="78"/>
      <c r="J399" s="78"/>
      <c r="K399" s="78"/>
    </row>
    <row r="400" spans="1:11">
      <c r="A400" s="77"/>
      <c r="B400" s="104"/>
      <c r="C400" s="78"/>
      <c r="D400" s="78"/>
      <c r="E400" s="78"/>
      <c r="F400" s="87"/>
      <c r="G400" s="78"/>
      <c r="J400" s="78"/>
      <c r="K400" s="78"/>
    </row>
    <row r="401" spans="1:11">
      <c r="A401" s="77"/>
      <c r="B401" s="104"/>
      <c r="C401" s="78"/>
      <c r="D401" s="78"/>
      <c r="E401" s="78"/>
      <c r="F401" s="87"/>
      <c r="G401" s="78"/>
      <c r="J401" s="78"/>
      <c r="K401" s="78"/>
    </row>
    <row r="402" spans="1:11">
      <c r="A402" s="77"/>
      <c r="B402" s="104"/>
      <c r="C402" s="78"/>
      <c r="D402" s="78"/>
      <c r="E402" s="78"/>
      <c r="F402" s="87"/>
      <c r="G402" s="78"/>
      <c r="J402" s="78"/>
      <c r="K402" s="78"/>
    </row>
    <row r="403" spans="1:11">
      <c r="A403" s="77"/>
      <c r="B403" s="104"/>
      <c r="C403" s="78"/>
      <c r="D403" s="78"/>
      <c r="E403" s="78"/>
      <c r="F403" s="87"/>
      <c r="G403" s="78"/>
      <c r="J403" s="78"/>
      <c r="K403" s="78"/>
    </row>
    <row r="404" spans="1:11">
      <c r="A404" s="77"/>
      <c r="B404" s="104"/>
      <c r="C404" s="78"/>
      <c r="D404" s="78"/>
      <c r="E404" s="78"/>
      <c r="F404" s="87"/>
      <c r="G404" s="78"/>
      <c r="J404" s="78"/>
      <c r="K404" s="78"/>
    </row>
    <row r="405" spans="1:11">
      <c r="A405" s="77"/>
      <c r="B405" s="104"/>
      <c r="C405" s="78"/>
      <c r="D405" s="78"/>
      <c r="E405" s="78"/>
      <c r="F405" s="87"/>
      <c r="G405" s="78"/>
      <c r="J405" s="78"/>
      <c r="K405" s="78"/>
    </row>
    <row r="406" spans="1:11">
      <c r="A406" s="77"/>
      <c r="B406" s="104"/>
      <c r="C406" s="78"/>
      <c r="D406" s="78"/>
      <c r="E406" s="78"/>
      <c r="F406" s="87"/>
      <c r="G406" s="78"/>
      <c r="J406" s="78"/>
      <c r="K406" s="78"/>
    </row>
    <row r="407" spans="1:11">
      <c r="A407" s="77"/>
      <c r="B407" s="104"/>
      <c r="C407" s="78"/>
      <c r="D407" s="78"/>
      <c r="E407" s="78"/>
      <c r="F407" s="87"/>
      <c r="G407" s="78"/>
      <c r="J407" s="78"/>
      <c r="K407" s="78"/>
    </row>
    <row r="408" spans="1:11">
      <c r="A408" s="77"/>
      <c r="B408" s="104"/>
      <c r="C408" s="78"/>
      <c r="D408" s="78"/>
      <c r="E408" s="78"/>
      <c r="F408" s="87"/>
      <c r="G408" s="78"/>
      <c r="J408" s="78"/>
      <c r="K408" s="78"/>
    </row>
    <row r="409" spans="1:11">
      <c r="A409" s="77"/>
      <c r="B409" s="104"/>
      <c r="C409" s="78"/>
      <c r="D409" s="78"/>
      <c r="E409" s="78"/>
      <c r="F409" s="87"/>
      <c r="G409" s="78"/>
      <c r="J409" s="78"/>
      <c r="K409" s="78"/>
    </row>
    <row r="410" spans="1:11">
      <c r="A410" s="77"/>
      <c r="B410" s="104"/>
      <c r="C410" s="78"/>
      <c r="D410" s="78"/>
      <c r="E410" s="78"/>
      <c r="F410" s="87"/>
      <c r="G410" s="78"/>
      <c r="J410" s="78"/>
      <c r="K410" s="78"/>
    </row>
    <row r="411" spans="1:11">
      <c r="A411" s="77"/>
      <c r="B411" s="104"/>
      <c r="C411" s="78"/>
      <c r="D411" s="78"/>
      <c r="E411" s="78"/>
      <c r="F411" s="87"/>
      <c r="G411" s="78"/>
      <c r="J411" s="78"/>
      <c r="K411" s="78"/>
    </row>
    <row r="412" spans="1:11">
      <c r="A412" s="77"/>
      <c r="B412" s="104"/>
      <c r="C412" s="78"/>
      <c r="D412" s="78"/>
      <c r="E412" s="78"/>
      <c r="F412" s="87"/>
      <c r="G412" s="78"/>
      <c r="J412" s="78"/>
      <c r="K412" s="78"/>
    </row>
    <row r="413" spans="1:11">
      <c r="A413" s="77"/>
      <c r="B413" s="104"/>
      <c r="C413" s="78"/>
      <c r="D413" s="78"/>
      <c r="E413" s="78"/>
      <c r="F413" s="87"/>
      <c r="G413" s="78"/>
      <c r="J413" s="78"/>
      <c r="K413" s="78"/>
    </row>
    <row r="414" spans="1:11">
      <c r="A414" s="77"/>
      <c r="B414" s="104"/>
      <c r="C414" s="78"/>
      <c r="D414" s="78"/>
      <c r="E414" s="78"/>
      <c r="F414" s="87"/>
      <c r="G414" s="78"/>
      <c r="J414" s="78"/>
      <c r="K414" s="78"/>
    </row>
    <row r="415" spans="1:11">
      <c r="A415" s="77"/>
      <c r="B415" s="104"/>
      <c r="C415" s="78"/>
      <c r="D415" s="78"/>
      <c r="E415" s="78"/>
      <c r="F415" s="87"/>
      <c r="G415" s="78"/>
      <c r="J415" s="78"/>
      <c r="K415" s="78"/>
    </row>
    <row r="416" spans="1:11">
      <c r="A416" s="77"/>
      <c r="B416" s="104"/>
      <c r="C416" s="78"/>
      <c r="D416" s="78"/>
      <c r="E416" s="78"/>
      <c r="F416" s="87"/>
      <c r="G416" s="78"/>
      <c r="J416" s="78"/>
      <c r="K416" s="78"/>
    </row>
    <row r="417" spans="1:11">
      <c r="A417" s="77"/>
      <c r="B417" s="104"/>
      <c r="C417" s="78"/>
      <c r="D417" s="78"/>
      <c r="E417" s="78"/>
      <c r="F417" s="87"/>
      <c r="G417" s="78"/>
      <c r="J417" s="78"/>
      <c r="K417" s="78"/>
    </row>
    <row r="418" spans="1:11">
      <c r="A418" s="77"/>
      <c r="B418" s="104"/>
      <c r="C418" s="78"/>
      <c r="D418" s="78"/>
      <c r="E418" s="78"/>
      <c r="F418" s="87"/>
      <c r="G418" s="78"/>
      <c r="J418" s="78"/>
      <c r="K418" s="78"/>
    </row>
    <row r="419" spans="1:11">
      <c r="A419" s="77"/>
      <c r="B419" s="104"/>
      <c r="C419" s="78"/>
      <c r="D419" s="78"/>
      <c r="E419" s="78"/>
      <c r="F419" s="87"/>
      <c r="G419" s="78"/>
      <c r="J419" s="78"/>
      <c r="K419" s="78"/>
    </row>
    <row r="420" spans="1:11">
      <c r="A420" s="77"/>
      <c r="B420" s="104"/>
      <c r="C420" s="78"/>
      <c r="D420" s="78"/>
      <c r="E420" s="78"/>
      <c r="F420" s="87"/>
      <c r="G420" s="78"/>
      <c r="J420" s="78"/>
      <c r="K420" s="78"/>
    </row>
    <row r="421" spans="1:11">
      <c r="A421" s="77"/>
      <c r="B421" s="104"/>
      <c r="C421" s="78"/>
      <c r="D421" s="78"/>
      <c r="E421" s="78"/>
      <c r="F421" s="87"/>
      <c r="G421" s="78"/>
      <c r="J421" s="78"/>
      <c r="K421" s="78"/>
    </row>
    <row r="422" spans="1:11">
      <c r="A422" s="77"/>
      <c r="B422" s="104"/>
      <c r="C422" s="78"/>
      <c r="D422" s="78"/>
      <c r="E422" s="78"/>
      <c r="F422" s="87"/>
      <c r="G422" s="78"/>
      <c r="J422" s="78"/>
      <c r="K422" s="78"/>
    </row>
    <row r="423" spans="1:11">
      <c r="A423" s="77"/>
      <c r="B423" s="104"/>
      <c r="C423" s="78"/>
      <c r="D423" s="78"/>
      <c r="E423" s="78"/>
      <c r="F423" s="87"/>
      <c r="G423" s="78"/>
      <c r="J423" s="78"/>
      <c r="K423" s="78"/>
    </row>
    <row r="424" spans="1:11">
      <c r="A424" s="77"/>
      <c r="B424" s="104"/>
      <c r="C424" s="78"/>
      <c r="D424" s="78"/>
      <c r="E424" s="78"/>
      <c r="F424" s="87"/>
      <c r="G424" s="78"/>
      <c r="J424" s="78"/>
      <c r="K424" s="78"/>
    </row>
    <row r="425" spans="1:11">
      <c r="A425" s="77"/>
      <c r="B425" s="104"/>
      <c r="C425" s="78"/>
      <c r="D425" s="78"/>
      <c r="E425" s="78"/>
      <c r="F425" s="87"/>
      <c r="G425" s="78"/>
      <c r="J425" s="78"/>
      <c r="K425" s="78"/>
    </row>
    <row r="426" spans="1:11">
      <c r="A426" s="77"/>
      <c r="B426" s="104"/>
      <c r="C426" s="78"/>
      <c r="D426" s="78"/>
      <c r="E426" s="78"/>
      <c r="F426" s="87"/>
      <c r="G426" s="78"/>
      <c r="J426" s="78"/>
      <c r="K426" s="78"/>
    </row>
    <row r="427" spans="1:11">
      <c r="A427" s="77"/>
      <c r="B427" s="104"/>
      <c r="C427" s="78"/>
      <c r="D427" s="78"/>
      <c r="E427" s="78"/>
      <c r="F427" s="87"/>
      <c r="G427" s="78"/>
      <c r="J427" s="78"/>
      <c r="K427" s="78"/>
    </row>
    <row r="428" spans="1:11">
      <c r="A428" s="77"/>
      <c r="B428" s="104"/>
      <c r="C428" s="78"/>
      <c r="D428" s="78"/>
      <c r="E428" s="78"/>
      <c r="F428" s="87"/>
      <c r="G428" s="78"/>
      <c r="J428" s="78"/>
      <c r="K428" s="78"/>
    </row>
    <row r="429" spans="1:11">
      <c r="A429" s="77"/>
      <c r="B429" s="104"/>
      <c r="C429" s="78"/>
      <c r="D429" s="78"/>
      <c r="E429" s="78"/>
      <c r="F429" s="87"/>
      <c r="G429" s="78"/>
      <c r="J429" s="78"/>
      <c r="K429" s="78"/>
    </row>
    <row r="430" spans="1:11">
      <c r="A430" s="77"/>
      <c r="B430" s="104"/>
      <c r="C430" s="78"/>
      <c r="D430" s="78"/>
      <c r="E430" s="78"/>
      <c r="F430" s="87"/>
      <c r="G430" s="78"/>
      <c r="J430" s="78"/>
      <c r="K430" s="78"/>
    </row>
    <row r="431" spans="1:11">
      <c r="A431" s="77"/>
      <c r="B431" s="104"/>
      <c r="C431" s="78"/>
      <c r="D431" s="78"/>
      <c r="E431" s="78"/>
      <c r="F431" s="87"/>
      <c r="G431" s="78"/>
      <c r="J431" s="78"/>
      <c r="K431" s="78"/>
    </row>
    <row r="432" spans="1:11">
      <c r="A432" s="77"/>
      <c r="B432" s="104"/>
      <c r="C432" s="78"/>
      <c r="D432" s="78"/>
      <c r="E432" s="78"/>
      <c r="F432" s="87"/>
      <c r="G432" s="78"/>
      <c r="J432" s="78"/>
      <c r="K432" s="78"/>
    </row>
    <row r="433" spans="1:11">
      <c r="A433" s="77"/>
      <c r="B433" s="104"/>
      <c r="C433" s="78"/>
      <c r="D433" s="78"/>
      <c r="E433" s="78"/>
      <c r="F433" s="87"/>
      <c r="G433" s="78"/>
      <c r="J433" s="78"/>
      <c r="K433" s="78"/>
    </row>
    <row r="434" spans="1:11">
      <c r="A434" s="77"/>
      <c r="B434" s="104"/>
      <c r="C434" s="78"/>
      <c r="D434" s="78"/>
      <c r="E434" s="78"/>
      <c r="F434" s="87"/>
      <c r="G434" s="78"/>
      <c r="J434" s="78"/>
      <c r="K434" s="78"/>
    </row>
    <row r="435" spans="1:11">
      <c r="A435" s="77"/>
      <c r="B435" s="104"/>
      <c r="C435" s="78"/>
      <c r="D435" s="78"/>
      <c r="E435" s="78"/>
      <c r="F435" s="87"/>
      <c r="G435" s="78"/>
      <c r="J435" s="78"/>
      <c r="K435" s="78"/>
    </row>
    <row r="436" spans="1:11">
      <c r="A436" s="77"/>
      <c r="B436" s="104"/>
      <c r="C436" s="78"/>
      <c r="D436" s="78"/>
      <c r="E436" s="78"/>
      <c r="F436" s="87"/>
      <c r="G436" s="78"/>
      <c r="J436" s="78"/>
      <c r="K436" s="78"/>
    </row>
    <row r="437" spans="1:11">
      <c r="A437" s="77"/>
      <c r="B437" s="104"/>
      <c r="C437" s="78"/>
      <c r="D437" s="78"/>
      <c r="E437" s="78"/>
      <c r="F437" s="87"/>
      <c r="G437" s="78"/>
      <c r="J437" s="78"/>
      <c r="K437" s="78"/>
    </row>
    <row r="438" spans="1:11">
      <c r="A438" s="77"/>
      <c r="B438" s="104"/>
      <c r="C438" s="78"/>
      <c r="D438" s="78"/>
      <c r="E438" s="78"/>
      <c r="F438" s="87"/>
      <c r="G438" s="78"/>
      <c r="J438" s="78"/>
      <c r="K438" s="78"/>
    </row>
    <row r="439" spans="1:11">
      <c r="A439" s="77"/>
      <c r="B439" s="104"/>
      <c r="C439" s="78"/>
      <c r="D439" s="78"/>
      <c r="E439" s="78"/>
      <c r="F439" s="87"/>
      <c r="G439" s="78"/>
      <c r="J439" s="78"/>
      <c r="K439" s="78"/>
    </row>
    <row r="440" spans="1:11">
      <c r="A440" s="77"/>
      <c r="B440" s="104"/>
      <c r="C440" s="78"/>
      <c r="D440" s="78"/>
      <c r="E440" s="78"/>
      <c r="F440" s="87"/>
      <c r="G440" s="78"/>
      <c r="J440" s="78"/>
      <c r="K440" s="78"/>
    </row>
    <row r="441" spans="1:11">
      <c r="A441" s="77"/>
      <c r="B441" s="104"/>
      <c r="C441" s="78"/>
      <c r="D441" s="78"/>
      <c r="E441" s="78"/>
      <c r="F441" s="87"/>
      <c r="G441" s="78"/>
      <c r="J441" s="78"/>
      <c r="K441" s="78"/>
    </row>
    <row r="442" spans="1:11">
      <c r="A442" s="77"/>
      <c r="B442" s="104"/>
      <c r="C442" s="78"/>
      <c r="D442" s="78"/>
      <c r="E442" s="78"/>
      <c r="F442" s="87"/>
      <c r="G442" s="78"/>
      <c r="J442" s="78"/>
      <c r="K442" s="78"/>
    </row>
    <row r="443" spans="1:11">
      <c r="A443" s="77"/>
      <c r="B443" s="104"/>
      <c r="C443" s="78"/>
      <c r="D443" s="78"/>
      <c r="E443" s="78"/>
      <c r="F443" s="87"/>
      <c r="G443" s="78"/>
      <c r="J443" s="78"/>
      <c r="K443" s="78"/>
    </row>
    <row r="444" spans="1:11">
      <c r="A444" s="77"/>
      <c r="B444" s="104"/>
      <c r="C444" s="78"/>
      <c r="D444" s="78"/>
      <c r="E444" s="78"/>
      <c r="F444" s="87"/>
      <c r="G444" s="78"/>
      <c r="J444" s="78"/>
      <c r="K444" s="78"/>
    </row>
    <row r="445" spans="1:11">
      <c r="A445" s="77"/>
      <c r="B445" s="104"/>
      <c r="C445" s="78"/>
      <c r="D445" s="78"/>
      <c r="E445" s="78"/>
      <c r="F445" s="87"/>
      <c r="G445" s="78"/>
      <c r="J445" s="78"/>
      <c r="K445" s="78"/>
    </row>
    <row r="446" spans="1:11">
      <c r="A446" s="77"/>
      <c r="B446" s="104"/>
      <c r="C446" s="78"/>
      <c r="D446" s="78"/>
      <c r="E446" s="78"/>
      <c r="F446" s="87"/>
      <c r="G446" s="78"/>
      <c r="J446" s="78"/>
      <c r="K446" s="78"/>
    </row>
    <row r="447" spans="1:11">
      <c r="A447" s="77"/>
      <c r="B447" s="104"/>
      <c r="C447" s="78"/>
      <c r="D447" s="78"/>
      <c r="E447" s="78"/>
      <c r="F447" s="87"/>
      <c r="G447" s="78"/>
      <c r="J447" s="78"/>
      <c r="K447" s="78"/>
    </row>
    <row r="448" spans="1:11">
      <c r="A448" s="77"/>
      <c r="B448" s="104"/>
      <c r="C448" s="78"/>
      <c r="D448" s="78"/>
      <c r="E448" s="78"/>
      <c r="F448" s="87"/>
      <c r="G448" s="78"/>
      <c r="J448" s="78"/>
      <c r="K448" s="78"/>
    </row>
    <row r="449" spans="1:11">
      <c r="A449" s="77"/>
      <c r="B449" s="104"/>
      <c r="C449" s="78"/>
      <c r="D449" s="78"/>
      <c r="E449" s="78"/>
      <c r="F449" s="87"/>
      <c r="G449" s="78"/>
      <c r="J449" s="78"/>
      <c r="K449" s="78"/>
    </row>
    <row r="450" spans="1:11">
      <c r="A450" s="77"/>
      <c r="B450" s="104"/>
      <c r="C450" s="78"/>
      <c r="D450" s="78"/>
      <c r="E450" s="78"/>
      <c r="F450" s="87"/>
      <c r="G450" s="78"/>
      <c r="J450" s="78"/>
      <c r="K450" s="78"/>
    </row>
    <row r="451" spans="1:11">
      <c r="A451" s="77"/>
      <c r="B451" s="104"/>
      <c r="C451" s="78"/>
      <c r="D451" s="78"/>
      <c r="E451" s="78"/>
      <c r="F451" s="87"/>
      <c r="G451" s="78"/>
      <c r="J451" s="78"/>
      <c r="K451" s="78"/>
    </row>
    <row r="452" spans="1:11">
      <c r="A452" s="77"/>
      <c r="B452" s="104"/>
      <c r="C452" s="78"/>
      <c r="D452" s="78"/>
      <c r="E452" s="78"/>
      <c r="F452" s="87"/>
      <c r="G452" s="78"/>
      <c r="J452" s="78"/>
      <c r="K452" s="78"/>
    </row>
    <row r="453" spans="1:11">
      <c r="A453" s="77"/>
      <c r="B453" s="104"/>
      <c r="C453" s="78"/>
      <c r="D453" s="78"/>
      <c r="E453" s="78"/>
      <c r="F453" s="87"/>
      <c r="G453" s="78"/>
      <c r="J453" s="78"/>
      <c r="K453" s="78"/>
    </row>
    <row r="454" spans="1:11">
      <c r="A454" s="77"/>
      <c r="B454" s="104"/>
      <c r="C454" s="78"/>
      <c r="D454" s="78"/>
      <c r="E454" s="78"/>
      <c r="F454" s="87"/>
      <c r="G454" s="78"/>
      <c r="J454" s="78"/>
      <c r="K454" s="78"/>
    </row>
    <row r="455" spans="1:11">
      <c r="A455" s="77"/>
      <c r="B455" s="104"/>
      <c r="C455" s="78"/>
      <c r="D455" s="78"/>
      <c r="E455" s="78"/>
      <c r="F455" s="87"/>
      <c r="G455" s="78"/>
      <c r="J455" s="78"/>
      <c r="K455" s="78"/>
    </row>
    <row r="456" spans="1:11">
      <c r="A456" s="77"/>
      <c r="B456" s="104"/>
      <c r="C456" s="78"/>
      <c r="D456" s="78"/>
      <c r="E456" s="78"/>
      <c r="F456" s="87"/>
      <c r="G456" s="78"/>
      <c r="J456" s="78"/>
      <c r="K456" s="78"/>
    </row>
    <row r="457" spans="1:11">
      <c r="A457" s="77"/>
      <c r="B457" s="104"/>
      <c r="C457" s="78"/>
      <c r="D457" s="78"/>
      <c r="E457" s="78"/>
      <c r="F457" s="87"/>
      <c r="G457" s="78"/>
      <c r="J457" s="78"/>
      <c r="K457" s="78"/>
    </row>
    <row r="458" spans="1:11">
      <c r="A458" s="77"/>
      <c r="B458" s="104"/>
      <c r="C458" s="78"/>
      <c r="D458" s="78"/>
      <c r="E458" s="78"/>
      <c r="F458" s="87"/>
      <c r="G458" s="78"/>
      <c r="J458" s="78"/>
      <c r="K458" s="78"/>
    </row>
    <row r="459" spans="1:11">
      <c r="A459" s="77"/>
      <c r="B459" s="104"/>
      <c r="C459" s="78"/>
      <c r="D459" s="78"/>
      <c r="E459" s="78"/>
      <c r="F459" s="87"/>
      <c r="G459" s="78"/>
      <c r="J459" s="78"/>
      <c r="K459" s="78"/>
    </row>
    <row r="460" spans="1:11">
      <c r="A460" s="77"/>
      <c r="B460" s="104"/>
      <c r="C460" s="78"/>
      <c r="D460" s="78"/>
      <c r="E460" s="78"/>
      <c r="F460" s="87"/>
      <c r="G460" s="78"/>
      <c r="J460" s="78"/>
      <c r="K460" s="78"/>
    </row>
    <row r="461" spans="1:11">
      <c r="A461" s="77"/>
      <c r="B461" s="104"/>
      <c r="C461" s="78"/>
      <c r="D461" s="78"/>
      <c r="E461" s="78"/>
      <c r="F461" s="87"/>
      <c r="G461" s="78"/>
      <c r="J461" s="78"/>
      <c r="K461" s="78"/>
    </row>
    <row r="462" spans="1:11">
      <c r="A462" s="77"/>
      <c r="B462" s="104"/>
      <c r="C462" s="78"/>
      <c r="D462" s="78"/>
      <c r="E462" s="78"/>
      <c r="F462" s="87"/>
      <c r="G462" s="78"/>
      <c r="J462" s="78"/>
      <c r="K462" s="78"/>
    </row>
    <row r="463" spans="1:11">
      <c r="A463" s="77"/>
      <c r="B463" s="104"/>
      <c r="C463" s="78"/>
      <c r="D463" s="78"/>
      <c r="E463" s="78"/>
      <c r="F463" s="87"/>
      <c r="G463" s="78"/>
      <c r="J463" s="78"/>
      <c r="K463" s="78"/>
    </row>
    <row r="464" spans="1:11">
      <c r="A464" s="77"/>
      <c r="B464" s="104"/>
      <c r="C464" s="78"/>
      <c r="D464" s="78"/>
      <c r="E464" s="78"/>
      <c r="F464" s="87"/>
      <c r="G464" s="78"/>
      <c r="J464" s="78"/>
      <c r="K464" s="78"/>
    </row>
    <row r="465" spans="1:11">
      <c r="A465" s="77"/>
      <c r="B465" s="104"/>
      <c r="C465" s="78"/>
      <c r="D465" s="78"/>
      <c r="E465" s="78"/>
      <c r="F465" s="87"/>
      <c r="G465" s="78"/>
      <c r="J465" s="78"/>
      <c r="K465" s="78"/>
    </row>
    <row r="466" spans="1:11">
      <c r="A466" s="77"/>
      <c r="B466" s="104"/>
      <c r="C466" s="78"/>
      <c r="D466" s="78"/>
      <c r="E466" s="78"/>
      <c r="F466" s="87"/>
      <c r="G466" s="78"/>
      <c r="J466" s="78"/>
      <c r="K466" s="78"/>
    </row>
    <row r="467" spans="1:11">
      <c r="A467" s="77"/>
      <c r="B467" s="104"/>
      <c r="C467" s="78"/>
      <c r="D467" s="78"/>
      <c r="E467" s="78"/>
      <c r="F467" s="87"/>
      <c r="G467" s="78"/>
      <c r="J467" s="78"/>
      <c r="K467" s="78"/>
    </row>
    <row r="468" spans="1:11">
      <c r="A468" s="77"/>
      <c r="B468" s="104"/>
      <c r="C468" s="78"/>
      <c r="D468" s="78"/>
      <c r="E468" s="78"/>
      <c r="F468" s="87"/>
      <c r="G468" s="78"/>
      <c r="J468" s="78"/>
      <c r="K468" s="78"/>
    </row>
    <row r="469" spans="1:11">
      <c r="A469" s="77"/>
      <c r="B469" s="104"/>
      <c r="C469" s="78"/>
      <c r="D469" s="78"/>
      <c r="E469" s="78"/>
      <c r="F469" s="87"/>
      <c r="G469" s="78"/>
      <c r="J469" s="78"/>
      <c r="K469" s="78"/>
    </row>
    <row r="470" spans="1:11">
      <c r="A470" s="77"/>
      <c r="B470" s="104"/>
      <c r="C470" s="78"/>
      <c r="D470" s="78"/>
      <c r="E470" s="78"/>
      <c r="F470" s="87"/>
      <c r="G470" s="78"/>
      <c r="J470" s="78"/>
      <c r="K470" s="78"/>
    </row>
    <row r="471" spans="1:11">
      <c r="A471" s="77"/>
      <c r="B471" s="104"/>
      <c r="C471" s="78"/>
      <c r="D471" s="78"/>
      <c r="E471" s="78"/>
      <c r="F471" s="87"/>
      <c r="G471" s="78"/>
      <c r="J471" s="78"/>
      <c r="K471" s="78"/>
    </row>
    <row r="472" spans="1:11">
      <c r="A472" s="77"/>
      <c r="B472" s="104"/>
      <c r="C472" s="78"/>
      <c r="D472" s="78"/>
      <c r="E472" s="78"/>
      <c r="F472" s="87"/>
      <c r="G472" s="78"/>
      <c r="J472" s="78"/>
      <c r="K472" s="78"/>
    </row>
    <row r="473" spans="1:11">
      <c r="A473" s="77"/>
      <c r="B473" s="104"/>
      <c r="C473" s="78"/>
      <c r="D473" s="78"/>
      <c r="E473" s="78"/>
      <c r="F473" s="87"/>
      <c r="G473" s="78"/>
      <c r="J473" s="78"/>
      <c r="K473" s="78"/>
    </row>
    <row r="474" spans="1:11">
      <c r="A474" s="77"/>
      <c r="B474" s="104"/>
      <c r="C474" s="78"/>
      <c r="D474" s="78"/>
      <c r="E474" s="78"/>
      <c r="F474" s="87"/>
      <c r="G474" s="78"/>
      <c r="J474" s="78"/>
      <c r="K474" s="78"/>
    </row>
    <row r="475" spans="1:11">
      <c r="A475" s="77"/>
      <c r="B475" s="104"/>
      <c r="C475" s="78"/>
      <c r="D475" s="78"/>
      <c r="E475" s="78"/>
      <c r="F475" s="87"/>
      <c r="G475" s="78"/>
      <c r="J475" s="78"/>
      <c r="K475" s="78"/>
    </row>
    <row r="476" spans="1:11">
      <c r="A476" s="77"/>
      <c r="B476" s="104"/>
      <c r="C476" s="78"/>
      <c r="D476" s="78"/>
      <c r="E476" s="78"/>
      <c r="F476" s="87"/>
      <c r="G476" s="78"/>
      <c r="J476" s="78"/>
      <c r="K476" s="78"/>
    </row>
    <row r="477" spans="1:11">
      <c r="A477" s="77"/>
      <c r="B477" s="104"/>
      <c r="C477" s="78"/>
      <c r="D477" s="78"/>
      <c r="E477" s="78"/>
      <c r="F477" s="87"/>
      <c r="G477" s="78"/>
      <c r="J477" s="78"/>
      <c r="K477" s="78"/>
    </row>
    <row r="478" spans="1:11">
      <c r="A478" s="77"/>
      <c r="B478" s="104"/>
      <c r="C478" s="78"/>
      <c r="D478" s="78"/>
      <c r="E478" s="78"/>
      <c r="F478" s="87"/>
      <c r="G478" s="78"/>
      <c r="J478" s="78"/>
      <c r="K478" s="78"/>
    </row>
    <row r="479" spans="1:11">
      <c r="A479" s="77"/>
      <c r="B479" s="104"/>
      <c r="C479" s="78"/>
      <c r="D479" s="78"/>
      <c r="E479" s="78"/>
      <c r="F479" s="87"/>
      <c r="G479" s="78"/>
      <c r="J479" s="78"/>
      <c r="K479" s="78"/>
    </row>
    <row r="480" spans="1:11">
      <c r="A480" s="77"/>
      <c r="B480" s="104"/>
      <c r="C480" s="78"/>
      <c r="D480" s="78"/>
      <c r="E480" s="78"/>
      <c r="F480" s="87"/>
      <c r="G480" s="78"/>
      <c r="J480" s="78"/>
      <c r="K480" s="78"/>
    </row>
    <row r="481" spans="1:11">
      <c r="A481" s="77"/>
      <c r="B481" s="104"/>
      <c r="C481" s="78"/>
      <c r="D481" s="78"/>
      <c r="E481" s="78"/>
      <c r="F481" s="87"/>
      <c r="G481" s="78"/>
      <c r="J481" s="78"/>
      <c r="K481" s="78"/>
    </row>
    <row r="482" spans="1:11">
      <c r="A482" s="77"/>
      <c r="B482" s="104"/>
      <c r="C482" s="78"/>
      <c r="D482" s="78"/>
      <c r="E482" s="78"/>
      <c r="F482" s="87"/>
      <c r="G482" s="78"/>
      <c r="J482" s="78"/>
      <c r="K482" s="78"/>
    </row>
    <row r="483" spans="1:11">
      <c r="A483" s="77"/>
      <c r="B483" s="104"/>
      <c r="C483" s="78"/>
      <c r="D483" s="78"/>
      <c r="E483" s="78"/>
      <c r="F483" s="87"/>
      <c r="G483" s="78"/>
      <c r="J483" s="78"/>
      <c r="K483" s="78"/>
    </row>
    <row r="484" spans="1:11">
      <c r="A484" s="77"/>
      <c r="B484" s="104"/>
      <c r="C484" s="78"/>
      <c r="D484" s="78"/>
      <c r="E484" s="78"/>
      <c r="F484" s="87"/>
      <c r="G484" s="78"/>
      <c r="J484" s="78"/>
      <c r="K484" s="78"/>
    </row>
    <row r="485" spans="1:11">
      <c r="A485" s="77"/>
      <c r="B485" s="104"/>
      <c r="C485" s="78"/>
      <c r="D485" s="78"/>
      <c r="E485" s="78"/>
      <c r="F485" s="87"/>
      <c r="G485" s="78"/>
      <c r="J485" s="78"/>
      <c r="K485" s="78"/>
    </row>
    <row r="486" spans="1:11">
      <c r="A486" s="77"/>
      <c r="B486" s="104"/>
      <c r="C486" s="78"/>
      <c r="D486" s="78"/>
      <c r="E486" s="78"/>
      <c r="F486" s="87"/>
      <c r="G486" s="78"/>
      <c r="J486" s="78"/>
      <c r="K486" s="78"/>
    </row>
    <row r="487" spans="1:11">
      <c r="A487" s="77"/>
      <c r="B487" s="104"/>
      <c r="C487" s="78"/>
      <c r="D487" s="78"/>
      <c r="E487" s="78"/>
      <c r="F487" s="87"/>
      <c r="G487" s="78"/>
      <c r="J487" s="78"/>
      <c r="K487" s="78"/>
    </row>
    <row r="488" spans="1:11">
      <c r="A488" s="77"/>
      <c r="B488" s="104"/>
      <c r="C488" s="78"/>
      <c r="D488" s="78"/>
      <c r="E488" s="78"/>
      <c r="F488" s="87"/>
      <c r="G488" s="78"/>
      <c r="J488" s="78"/>
      <c r="K488" s="78"/>
    </row>
    <row r="489" spans="1:11">
      <c r="A489" s="77"/>
      <c r="B489" s="104"/>
      <c r="C489" s="78"/>
      <c r="D489" s="78"/>
      <c r="E489" s="78"/>
      <c r="F489" s="87"/>
      <c r="G489" s="78"/>
      <c r="J489" s="78"/>
      <c r="K489" s="78"/>
    </row>
    <row r="490" spans="1:11">
      <c r="A490" s="77"/>
      <c r="B490" s="104"/>
      <c r="C490" s="78"/>
      <c r="D490" s="78"/>
      <c r="E490" s="78"/>
      <c r="F490" s="87"/>
      <c r="G490" s="78"/>
      <c r="J490" s="78"/>
      <c r="K490" s="78"/>
    </row>
    <row r="491" spans="1:11">
      <c r="A491" s="77"/>
      <c r="B491" s="104"/>
      <c r="C491" s="78"/>
      <c r="D491" s="78"/>
      <c r="E491" s="78"/>
      <c r="F491" s="87"/>
      <c r="G491" s="78"/>
      <c r="J491" s="78"/>
      <c r="K491" s="78"/>
    </row>
    <row r="492" spans="1:11">
      <c r="A492" s="77"/>
      <c r="B492" s="104"/>
      <c r="C492" s="78"/>
      <c r="D492" s="78"/>
      <c r="E492" s="78"/>
      <c r="F492" s="87"/>
      <c r="G492" s="78"/>
      <c r="J492" s="78"/>
      <c r="K492" s="78"/>
    </row>
    <row r="493" spans="1:11">
      <c r="A493" s="77"/>
      <c r="B493" s="104"/>
      <c r="C493" s="78"/>
      <c r="D493" s="78"/>
      <c r="E493" s="78"/>
      <c r="F493" s="87"/>
      <c r="G493" s="78"/>
      <c r="J493" s="78"/>
      <c r="K493" s="78"/>
    </row>
    <row r="494" spans="1:11">
      <c r="A494" s="77"/>
      <c r="B494" s="104"/>
      <c r="C494" s="78"/>
      <c r="D494" s="78"/>
      <c r="E494" s="78"/>
      <c r="F494" s="87"/>
      <c r="G494" s="78"/>
      <c r="J494" s="78"/>
      <c r="K494" s="78"/>
    </row>
    <row r="495" spans="1:11">
      <c r="A495" s="77"/>
      <c r="B495" s="104"/>
      <c r="C495" s="78"/>
      <c r="D495" s="78"/>
      <c r="E495" s="78"/>
      <c r="F495" s="87"/>
      <c r="G495" s="78"/>
      <c r="J495" s="78"/>
      <c r="K495" s="78"/>
    </row>
    <row r="496" spans="1:11">
      <c r="A496" s="77"/>
      <c r="B496" s="104"/>
      <c r="C496" s="78"/>
      <c r="D496" s="78"/>
      <c r="E496" s="78"/>
      <c r="F496" s="87"/>
      <c r="G496" s="78"/>
      <c r="J496" s="78"/>
      <c r="K496" s="78"/>
    </row>
    <row r="497" spans="1:11">
      <c r="A497" s="77"/>
      <c r="B497" s="104"/>
      <c r="C497" s="78"/>
      <c r="D497" s="78"/>
      <c r="E497" s="78"/>
      <c r="F497" s="87"/>
      <c r="G497" s="78"/>
      <c r="J497" s="78"/>
      <c r="K497" s="78"/>
    </row>
    <row r="498" spans="1:11">
      <c r="A498" s="77"/>
      <c r="B498" s="104"/>
      <c r="C498" s="78"/>
      <c r="D498" s="78"/>
      <c r="E498" s="78"/>
      <c r="F498" s="87"/>
      <c r="G498" s="78"/>
      <c r="J498" s="78"/>
      <c r="K498" s="78"/>
    </row>
    <row r="499" spans="1:11">
      <c r="A499" s="77"/>
      <c r="B499" s="104"/>
      <c r="C499" s="78"/>
      <c r="D499" s="78"/>
      <c r="E499" s="78"/>
      <c r="F499" s="87"/>
      <c r="G499" s="78"/>
      <c r="J499" s="78"/>
      <c r="K499" s="78"/>
    </row>
    <row r="500" spans="1:11">
      <c r="A500" s="77"/>
      <c r="B500" s="104"/>
      <c r="C500" s="78"/>
      <c r="D500" s="78"/>
      <c r="E500" s="78"/>
      <c r="F500" s="87"/>
      <c r="G500" s="78"/>
      <c r="J500" s="78"/>
      <c r="K500" s="78"/>
    </row>
    <row r="501" spans="1:11">
      <c r="A501" s="77"/>
      <c r="B501" s="104"/>
      <c r="C501" s="78"/>
      <c r="D501" s="78"/>
      <c r="E501" s="78"/>
      <c r="F501" s="87"/>
      <c r="G501" s="78"/>
      <c r="J501" s="78"/>
      <c r="K501" s="78"/>
    </row>
    <row r="502" spans="1:11">
      <c r="A502" s="77"/>
      <c r="B502" s="104"/>
      <c r="C502" s="78"/>
      <c r="D502" s="78"/>
      <c r="E502" s="78"/>
      <c r="F502" s="87"/>
      <c r="G502" s="78"/>
      <c r="J502" s="78"/>
      <c r="K502" s="78"/>
    </row>
    <row r="503" spans="1:11">
      <c r="A503" s="77"/>
      <c r="B503" s="104"/>
      <c r="C503" s="78"/>
      <c r="D503" s="78"/>
      <c r="E503" s="78"/>
      <c r="F503" s="87"/>
      <c r="G503" s="78"/>
      <c r="J503" s="78"/>
      <c r="K503" s="78"/>
    </row>
    <row r="504" spans="1:11">
      <c r="A504" s="77"/>
      <c r="B504" s="104"/>
      <c r="C504" s="78"/>
      <c r="D504" s="78"/>
      <c r="E504" s="78"/>
      <c r="F504" s="87"/>
      <c r="G504" s="78"/>
      <c r="J504" s="78"/>
      <c r="K504" s="78"/>
    </row>
    <row r="505" spans="1:11">
      <c r="A505" s="77"/>
      <c r="B505" s="104"/>
      <c r="C505" s="78"/>
      <c r="D505" s="78"/>
      <c r="E505" s="78"/>
      <c r="F505" s="87"/>
      <c r="G505" s="78"/>
      <c r="J505" s="78"/>
      <c r="K505" s="78"/>
    </row>
    <row r="506" spans="1:11">
      <c r="A506" s="77"/>
      <c r="B506" s="104"/>
      <c r="C506" s="78"/>
      <c r="D506" s="78"/>
      <c r="E506" s="78"/>
      <c r="F506" s="87"/>
      <c r="G506" s="78"/>
      <c r="J506" s="78"/>
      <c r="K506" s="78"/>
    </row>
    <row r="507" spans="1:11">
      <c r="A507" s="77"/>
      <c r="B507" s="104"/>
      <c r="C507" s="78"/>
      <c r="D507" s="78"/>
      <c r="E507" s="78"/>
      <c r="F507" s="87"/>
      <c r="G507" s="78"/>
      <c r="J507" s="78"/>
      <c r="K507" s="78"/>
    </row>
    <row r="508" spans="1:11">
      <c r="A508" s="77"/>
      <c r="B508" s="104"/>
      <c r="C508" s="78"/>
      <c r="D508" s="78"/>
      <c r="E508" s="78"/>
      <c r="F508" s="87"/>
      <c r="G508" s="78"/>
      <c r="J508" s="78"/>
      <c r="K508" s="78"/>
    </row>
    <row r="509" spans="1:11">
      <c r="A509" s="77"/>
      <c r="B509" s="104"/>
      <c r="C509" s="78"/>
      <c r="D509" s="78"/>
      <c r="E509" s="78"/>
      <c r="F509" s="87"/>
      <c r="G509" s="78"/>
      <c r="J509" s="78"/>
      <c r="K509" s="78"/>
    </row>
    <row r="510" spans="1:11">
      <c r="A510" s="77"/>
      <c r="B510" s="104"/>
      <c r="C510" s="78"/>
      <c r="D510" s="78"/>
      <c r="E510" s="78"/>
      <c r="F510" s="87"/>
      <c r="G510" s="78"/>
      <c r="J510" s="78"/>
      <c r="K510" s="78"/>
    </row>
    <row r="511" spans="1:11">
      <c r="A511" s="77"/>
      <c r="B511" s="104"/>
      <c r="C511" s="78"/>
      <c r="D511" s="78"/>
      <c r="E511" s="78"/>
      <c r="F511" s="87"/>
      <c r="G511" s="78"/>
      <c r="J511" s="78"/>
      <c r="K511" s="78"/>
    </row>
    <row r="512" spans="1:11">
      <c r="A512" s="77"/>
      <c r="B512" s="104"/>
      <c r="C512" s="78"/>
      <c r="D512" s="78"/>
      <c r="E512" s="78"/>
      <c r="F512" s="87"/>
      <c r="G512" s="78"/>
      <c r="J512" s="78"/>
      <c r="K512" s="78"/>
    </row>
    <row r="513" spans="1:11">
      <c r="A513" s="77"/>
      <c r="B513" s="104"/>
      <c r="C513" s="78"/>
      <c r="D513" s="78"/>
      <c r="E513" s="78"/>
      <c r="F513" s="87"/>
      <c r="G513" s="78"/>
      <c r="J513" s="78"/>
      <c r="K513" s="78"/>
    </row>
    <row r="514" spans="1:11">
      <c r="A514" s="77"/>
      <c r="B514" s="104"/>
      <c r="C514" s="78"/>
      <c r="D514" s="78"/>
      <c r="E514" s="78"/>
      <c r="F514" s="87"/>
      <c r="G514" s="78"/>
      <c r="J514" s="78"/>
      <c r="K514" s="78"/>
    </row>
    <row r="515" spans="1:11">
      <c r="A515" s="77"/>
      <c r="B515" s="104"/>
      <c r="C515" s="78"/>
      <c r="D515" s="78"/>
      <c r="E515" s="78"/>
      <c r="F515" s="87"/>
      <c r="G515" s="78"/>
      <c r="J515" s="78"/>
      <c r="K515" s="78"/>
    </row>
    <row r="516" spans="1:11">
      <c r="A516" s="77"/>
      <c r="B516" s="104"/>
      <c r="C516" s="78"/>
      <c r="D516" s="78"/>
      <c r="E516" s="78"/>
      <c r="F516" s="87"/>
      <c r="G516" s="78"/>
      <c r="J516" s="78"/>
      <c r="K516" s="78"/>
    </row>
    <row r="517" spans="1:11">
      <c r="A517" s="77"/>
      <c r="B517" s="104"/>
      <c r="C517" s="78"/>
      <c r="D517" s="78"/>
      <c r="E517" s="78"/>
      <c r="F517" s="87"/>
      <c r="G517" s="78"/>
      <c r="J517" s="78"/>
      <c r="K517" s="78"/>
    </row>
    <row r="518" spans="1:11">
      <c r="A518" s="77"/>
      <c r="B518" s="104"/>
      <c r="C518" s="78"/>
      <c r="D518" s="78"/>
      <c r="E518" s="78"/>
      <c r="F518" s="87"/>
      <c r="G518" s="78"/>
      <c r="J518" s="78"/>
      <c r="K518" s="78"/>
    </row>
    <row r="519" spans="1:11">
      <c r="A519" s="77"/>
      <c r="B519" s="104"/>
      <c r="C519" s="78"/>
      <c r="D519" s="78"/>
      <c r="E519" s="78"/>
      <c r="F519" s="87"/>
      <c r="G519" s="78"/>
      <c r="J519" s="78"/>
      <c r="K519" s="78"/>
    </row>
    <row r="520" spans="1:11">
      <c r="A520" s="77"/>
      <c r="B520" s="104"/>
      <c r="C520" s="78"/>
      <c r="D520" s="78"/>
      <c r="E520" s="78"/>
      <c r="F520" s="87"/>
      <c r="G520" s="78"/>
      <c r="J520" s="78"/>
      <c r="K520" s="78"/>
    </row>
    <row r="521" spans="1:11">
      <c r="A521" s="77"/>
      <c r="B521" s="104"/>
      <c r="C521" s="78"/>
      <c r="D521" s="78"/>
      <c r="E521" s="78"/>
      <c r="F521" s="87"/>
      <c r="G521" s="78"/>
      <c r="J521" s="78"/>
      <c r="K521" s="78"/>
    </row>
    <row r="522" spans="1:11">
      <c r="A522" s="77"/>
      <c r="B522" s="104"/>
      <c r="C522" s="78"/>
      <c r="D522" s="78"/>
      <c r="E522" s="78"/>
      <c r="F522" s="87"/>
      <c r="G522" s="78"/>
      <c r="J522" s="78"/>
      <c r="K522" s="78"/>
    </row>
    <row r="523" spans="1:11">
      <c r="A523" s="77"/>
      <c r="B523" s="104"/>
      <c r="C523" s="78"/>
      <c r="D523" s="78"/>
      <c r="E523" s="78"/>
      <c r="F523" s="87"/>
      <c r="G523" s="78"/>
      <c r="J523" s="78"/>
      <c r="K523" s="78"/>
    </row>
    <row r="524" spans="1:11">
      <c r="A524" s="77"/>
      <c r="B524" s="104"/>
      <c r="C524" s="78"/>
      <c r="D524" s="78"/>
      <c r="E524" s="78"/>
      <c r="F524" s="87"/>
      <c r="G524" s="78"/>
      <c r="J524" s="78"/>
      <c r="K524" s="78"/>
    </row>
    <row r="525" spans="1:11">
      <c r="A525" s="77"/>
      <c r="B525" s="104"/>
      <c r="C525" s="78"/>
      <c r="D525" s="78"/>
      <c r="E525" s="78"/>
      <c r="F525" s="87"/>
      <c r="G525" s="78"/>
      <c r="J525" s="78"/>
      <c r="K525" s="78"/>
    </row>
    <row r="526" spans="1:11">
      <c r="A526" s="77"/>
      <c r="B526" s="104"/>
      <c r="C526" s="78"/>
      <c r="D526" s="78"/>
      <c r="E526" s="78"/>
      <c r="F526" s="87"/>
      <c r="G526" s="78"/>
      <c r="J526" s="78"/>
      <c r="K526" s="78"/>
    </row>
    <row r="527" spans="1:11">
      <c r="A527" s="77"/>
      <c r="B527" s="104"/>
      <c r="C527" s="78"/>
      <c r="D527" s="78"/>
      <c r="E527" s="78"/>
      <c r="F527" s="87"/>
      <c r="G527" s="78"/>
      <c r="J527" s="78"/>
      <c r="K527" s="78"/>
    </row>
    <row r="528" spans="1:11">
      <c r="A528" s="77"/>
      <c r="B528" s="104"/>
      <c r="C528" s="78"/>
      <c r="D528" s="78"/>
      <c r="E528" s="78"/>
      <c r="F528" s="87"/>
      <c r="G528" s="78"/>
      <c r="J528" s="78"/>
      <c r="K528" s="78"/>
    </row>
    <row r="529" spans="1:11">
      <c r="A529" s="77"/>
      <c r="B529" s="104"/>
      <c r="C529" s="78"/>
      <c r="D529" s="78"/>
      <c r="E529" s="78"/>
      <c r="F529" s="87"/>
      <c r="G529" s="78"/>
      <c r="J529" s="78"/>
      <c r="K529" s="78"/>
    </row>
    <row r="530" spans="1:11">
      <c r="A530" s="77"/>
      <c r="B530" s="104"/>
      <c r="C530" s="78"/>
      <c r="D530" s="78"/>
      <c r="E530" s="78"/>
      <c r="F530" s="87"/>
      <c r="G530" s="78"/>
      <c r="J530" s="78"/>
      <c r="K530" s="78"/>
    </row>
    <row r="531" spans="1:11">
      <c r="A531" s="77"/>
      <c r="B531" s="104"/>
      <c r="C531" s="78"/>
      <c r="D531" s="78"/>
      <c r="E531" s="78"/>
      <c r="F531" s="87"/>
      <c r="G531" s="78"/>
      <c r="J531" s="78"/>
      <c r="K531" s="78"/>
    </row>
    <row r="532" spans="1:11">
      <c r="A532" s="77"/>
      <c r="B532" s="104"/>
      <c r="C532" s="78"/>
      <c r="D532" s="78"/>
      <c r="E532" s="78"/>
      <c r="F532" s="87"/>
      <c r="G532" s="78"/>
      <c r="J532" s="78"/>
      <c r="K532" s="78"/>
    </row>
    <row r="533" spans="1:11">
      <c r="A533" s="77"/>
      <c r="B533" s="104"/>
      <c r="C533" s="78"/>
      <c r="D533" s="78"/>
      <c r="E533" s="78"/>
      <c r="F533" s="87"/>
      <c r="G533" s="78"/>
      <c r="J533" s="78"/>
      <c r="K533" s="78"/>
    </row>
    <row r="534" spans="1:11">
      <c r="A534" s="77"/>
      <c r="B534" s="104"/>
      <c r="C534" s="78"/>
      <c r="D534" s="78"/>
      <c r="E534" s="78"/>
      <c r="F534" s="87"/>
      <c r="G534" s="78"/>
      <c r="J534" s="78"/>
      <c r="K534" s="78"/>
    </row>
    <row r="535" spans="1:11">
      <c r="A535" s="77"/>
      <c r="B535" s="104"/>
      <c r="C535" s="78"/>
      <c r="D535" s="78"/>
      <c r="E535" s="78"/>
      <c r="F535" s="87"/>
      <c r="G535" s="78"/>
      <c r="J535" s="78"/>
      <c r="K535" s="78"/>
    </row>
    <row r="536" spans="1:11">
      <c r="A536" s="77"/>
      <c r="B536" s="104"/>
      <c r="C536" s="78"/>
      <c r="D536" s="78"/>
      <c r="E536" s="78"/>
      <c r="F536" s="87"/>
      <c r="G536" s="78"/>
      <c r="J536" s="78"/>
      <c r="K536" s="78"/>
    </row>
    <row r="537" spans="1:11">
      <c r="A537" s="77"/>
      <c r="B537" s="104"/>
      <c r="C537" s="78"/>
      <c r="D537" s="78"/>
      <c r="E537" s="78"/>
      <c r="F537" s="87"/>
      <c r="G537" s="78"/>
      <c r="J537" s="78"/>
      <c r="K537" s="78"/>
    </row>
    <row r="538" spans="1:11">
      <c r="A538" s="77"/>
      <c r="B538" s="104"/>
      <c r="C538" s="78"/>
      <c r="D538" s="78"/>
      <c r="E538" s="78"/>
      <c r="F538" s="87"/>
      <c r="G538" s="78"/>
      <c r="J538" s="78"/>
      <c r="K538" s="78"/>
    </row>
    <row r="539" spans="1:11">
      <c r="A539" s="77"/>
      <c r="B539" s="104"/>
      <c r="C539" s="78"/>
      <c r="D539" s="78"/>
      <c r="E539" s="78"/>
      <c r="F539" s="87"/>
      <c r="G539" s="78"/>
      <c r="J539" s="78"/>
      <c r="K539" s="78"/>
    </row>
    <row r="540" spans="1:11">
      <c r="A540" s="77"/>
      <c r="B540" s="104"/>
      <c r="C540" s="78"/>
      <c r="D540" s="78"/>
      <c r="E540" s="78"/>
      <c r="F540" s="87"/>
      <c r="G540" s="78"/>
      <c r="J540" s="78"/>
      <c r="K540" s="78"/>
    </row>
    <row r="541" spans="1:11">
      <c r="A541" s="77"/>
      <c r="B541" s="104"/>
      <c r="C541" s="78"/>
      <c r="D541" s="78"/>
      <c r="E541" s="78"/>
      <c r="F541" s="87"/>
      <c r="G541" s="78"/>
      <c r="J541" s="78"/>
      <c r="K541" s="78"/>
    </row>
    <row r="542" spans="1:11">
      <c r="A542" s="77"/>
      <c r="B542" s="104"/>
      <c r="C542" s="78"/>
      <c r="D542" s="78"/>
      <c r="E542" s="78"/>
      <c r="F542" s="87"/>
      <c r="G542" s="78"/>
      <c r="J542" s="78"/>
      <c r="K542" s="78"/>
    </row>
    <row r="543" spans="1:11">
      <c r="A543" s="77"/>
      <c r="B543" s="104"/>
      <c r="C543" s="78"/>
      <c r="D543" s="78"/>
      <c r="E543" s="78"/>
      <c r="F543" s="87"/>
      <c r="G543" s="78"/>
      <c r="J543" s="78"/>
      <c r="K543" s="78"/>
    </row>
    <row r="544" spans="1:11">
      <c r="A544" s="77"/>
      <c r="B544" s="104"/>
      <c r="C544" s="78"/>
      <c r="D544" s="78"/>
      <c r="E544" s="78"/>
      <c r="F544" s="87"/>
      <c r="G544" s="78"/>
      <c r="J544" s="78"/>
      <c r="K544" s="78"/>
    </row>
    <row r="545" spans="1:11">
      <c r="A545" s="77"/>
      <c r="B545" s="104"/>
      <c r="C545" s="78"/>
      <c r="D545" s="78"/>
      <c r="E545" s="78"/>
      <c r="F545" s="87"/>
      <c r="G545" s="78"/>
      <c r="J545" s="78"/>
      <c r="K545" s="78"/>
    </row>
    <row r="546" spans="1:11">
      <c r="A546" s="77"/>
      <c r="B546" s="104"/>
      <c r="C546" s="78"/>
      <c r="D546" s="78"/>
      <c r="E546" s="78"/>
      <c r="F546" s="87"/>
      <c r="G546" s="78"/>
      <c r="J546" s="78"/>
      <c r="K546" s="78"/>
    </row>
    <row r="547" spans="1:11">
      <c r="A547" s="77"/>
      <c r="B547" s="104"/>
      <c r="C547" s="78"/>
      <c r="D547" s="78"/>
      <c r="E547" s="78"/>
      <c r="F547" s="87"/>
      <c r="G547" s="78"/>
      <c r="J547" s="78"/>
      <c r="K547" s="78"/>
    </row>
    <row r="548" spans="1:11">
      <c r="A548" s="77"/>
      <c r="B548" s="104"/>
      <c r="C548" s="78"/>
      <c r="D548" s="78"/>
      <c r="E548" s="78"/>
      <c r="F548" s="87"/>
      <c r="G548" s="78"/>
      <c r="J548" s="78"/>
      <c r="K548" s="78"/>
    </row>
    <row r="549" spans="1:11">
      <c r="A549" s="77"/>
      <c r="B549" s="104"/>
      <c r="C549" s="78"/>
      <c r="D549" s="78"/>
      <c r="E549" s="78"/>
      <c r="F549" s="87"/>
      <c r="G549" s="78"/>
      <c r="J549" s="78"/>
      <c r="K549" s="78"/>
    </row>
    <row r="550" spans="1:11">
      <c r="A550" s="77"/>
      <c r="B550" s="104"/>
      <c r="C550" s="78"/>
      <c r="D550" s="78"/>
      <c r="E550" s="78"/>
      <c r="F550" s="87"/>
      <c r="G550" s="78"/>
      <c r="J550" s="78"/>
      <c r="K550" s="78"/>
    </row>
    <row r="551" spans="1:11">
      <c r="A551" s="77"/>
      <c r="B551" s="104"/>
      <c r="C551" s="78"/>
      <c r="D551" s="78"/>
      <c r="E551" s="78"/>
      <c r="F551" s="87"/>
      <c r="G551" s="78"/>
      <c r="J551" s="78"/>
      <c r="K551" s="78"/>
    </row>
    <row r="552" spans="1:11">
      <c r="A552" s="77"/>
      <c r="B552" s="104"/>
      <c r="C552" s="78"/>
      <c r="D552" s="78"/>
      <c r="E552" s="78"/>
      <c r="F552" s="87"/>
      <c r="G552" s="78"/>
      <c r="J552" s="78"/>
      <c r="K552" s="78"/>
    </row>
    <row r="553" spans="1:11">
      <c r="A553" s="77"/>
      <c r="B553" s="104"/>
      <c r="C553" s="78"/>
      <c r="D553" s="78"/>
      <c r="E553" s="78"/>
      <c r="F553" s="87"/>
      <c r="G553" s="78"/>
      <c r="J553" s="78"/>
      <c r="K553" s="78"/>
    </row>
    <row r="554" spans="1:11">
      <c r="A554" s="77"/>
      <c r="B554" s="104"/>
      <c r="C554" s="78"/>
      <c r="D554" s="78"/>
      <c r="E554" s="78"/>
      <c r="F554" s="87"/>
      <c r="G554" s="78"/>
      <c r="J554" s="78"/>
      <c r="K554" s="78"/>
    </row>
    <row r="555" spans="1:11">
      <c r="A555" s="77"/>
      <c r="B555" s="104"/>
      <c r="C555" s="78"/>
      <c r="D555" s="78"/>
      <c r="E555" s="78"/>
      <c r="F555" s="87"/>
      <c r="G555" s="78"/>
      <c r="J555" s="78"/>
      <c r="K555" s="78"/>
    </row>
    <row r="556" spans="1:11">
      <c r="A556" s="77"/>
      <c r="B556" s="104"/>
      <c r="C556" s="78"/>
      <c r="D556" s="78"/>
      <c r="E556" s="78"/>
      <c r="F556" s="87"/>
      <c r="G556" s="78"/>
      <c r="J556" s="78"/>
      <c r="K556" s="78"/>
    </row>
    <row r="557" spans="1:11">
      <c r="A557" s="77"/>
      <c r="B557" s="104"/>
      <c r="C557" s="78"/>
      <c r="D557" s="78"/>
      <c r="E557" s="78"/>
      <c r="F557" s="87"/>
      <c r="G557" s="78"/>
      <c r="J557" s="78"/>
      <c r="K557" s="78"/>
    </row>
    <row r="558" spans="1:11">
      <c r="A558" s="77"/>
      <c r="B558" s="104"/>
      <c r="C558" s="78"/>
      <c r="D558" s="78"/>
      <c r="E558" s="78"/>
      <c r="F558" s="87"/>
      <c r="G558" s="78"/>
      <c r="J558" s="78"/>
      <c r="K558" s="78"/>
    </row>
    <row r="559" spans="1:11">
      <c r="A559" s="77"/>
      <c r="B559" s="104"/>
      <c r="C559" s="78"/>
      <c r="D559" s="78"/>
      <c r="E559" s="78"/>
      <c r="F559" s="87"/>
      <c r="G559" s="78"/>
      <c r="J559" s="78"/>
      <c r="K559" s="78"/>
    </row>
    <row r="560" spans="1:11">
      <c r="A560" s="77"/>
      <c r="B560" s="104"/>
      <c r="C560" s="78"/>
      <c r="D560" s="78"/>
      <c r="E560" s="78"/>
      <c r="F560" s="87"/>
      <c r="G560" s="78"/>
      <c r="J560" s="78"/>
      <c r="K560" s="78"/>
    </row>
    <row r="561" spans="1:11">
      <c r="A561" s="77"/>
      <c r="B561" s="104"/>
      <c r="C561" s="78"/>
      <c r="D561" s="78"/>
      <c r="E561" s="78"/>
      <c r="F561" s="87"/>
      <c r="G561" s="78"/>
      <c r="J561" s="78"/>
      <c r="K561" s="78"/>
    </row>
    <row r="562" spans="1:11">
      <c r="A562" s="77"/>
      <c r="B562" s="104"/>
      <c r="C562" s="78"/>
      <c r="D562" s="78"/>
      <c r="E562" s="78"/>
      <c r="F562" s="87"/>
      <c r="G562" s="78"/>
      <c r="J562" s="78"/>
      <c r="K562" s="78"/>
    </row>
    <row r="563" spans="1:11">
      <c r="A563" s="77"/>
      <c r="B563" s="104"/>
      <c r="C563" s="78"/>
      <c r="D563" s="78"/>
      <c r="E563" s="78"/>
      <c r="F563" s="87"/>
      <c r="G563" s="78"/>
      <c r="J563" s="78"/>
      <c r="K563" s="78"/>
    </row>
    <row r="564" spans="1:11">
      <c r="A564" s="77"/>
      <c r="B564" s="104"/>
      <c r="C564" s="78"/>
      <c r="D564" s="78"/>
      <c r="E564" s="78"/>
      <c r="F564" s="87"/>
      <c r="G564" s="78"/>
      <c r="J564" s="78"/>
      <c r="K564" s="78"/>
    </row>
    <row r="565" spans="1:11">
      <c r="A565" s="77"/>
      <c r="B565" s="104"/>
      <c r="C565" s="78"/>
      <c r="D565" s="78"/>
      <c r="E565" s="78"/>
      <c r="F565" s="87"/>
      <c r="G565" s="78"/>
      <c r="J565" s="78"/>
      <c r="K565" s="78"/>
    </row>
    <row r="566" spans="1:11">
      <c r="A566" s="77"/>
      <c r="B566" s="104"/>
      <c r="C566" s="78"/>
      <c r="D566" s="78"/>
      <c r="E566" s="78"/>
      <c r="F566" s="87"/>
      <c r="G566" s="78"/>
      <c r="J566" s="78"/>
      <c r="K566" s="78"/>
    </row>
    <row r="567" spans="1:11">
      <c r="A567" s="77"/>
      <c r="B567" s="104"/>
      <c r="C567" s="78"/>
      <c r="D567" s="78"/>
      <c r="E567" s="78"/>
      <c r="F567" s="87"/>
      <c r="G567" s="78"/>
      <c r="J567" s="78"/>
      <c r="K567" s="78"/>
    </row>
    <row r="568" spans="1:11">
      <c r="A568" s="77"/>
      <c r="B568" s="104"/>
      <c r="C568" s="78"/>
      <c r="D568" s="78"/>
      <c r="E568" s="78"/>
      <c r="F568" s="87"/>
      <c r="G568" s="78"/>
      <c r="J568" s="78"/>
      <c r="K568" s="78"/>
    </row>
    <row r="569" spans="1:11">
      <c r="A569" s="77"/>
      <c r="B569" s="104"/>
      <c r="C569" s="78"/>
      <c r="D569" s="78"/>
      <c r="E569" s="78"/>
      <c r="F569" s="87"/>
      <c r="G569" s="78"/>
      <c r="J569" s="78"/>
      <c r="K569" s="78"/>
    </row>
    <row r="570" spans="1:11">
      <c r="A570" s="77"/>
      <c r="B570" s="104"/>
      <c r="C570" s="78"/>
      <c r="D570" s="78"/>
      <c r="E570" s="78"/>
      <c r="F570" s="87"/>
      <c r="G570" s="78"/>
      <c r="J570" s="78"/>
      <c r="K570" s="78"/>
    </row>
    <row r="571" spans="1:11">
      <c r="A571" s="77"/>
      <c r="B571" s="104"/>
      <c r="C571" s="78"/>
      <c r="D571" s="78"/>
      <c r="E571" s="78"/>
      <c r="F571" s="87"/>
      <c r="G571" s="78"/>
      <c r="J571" s="78"/>
      <c r="K571" s="78"/>
    </row>
    <row r="572" spans="1:11">
      <c r="A572" s="77"/>
      <c r="B572" s="104"/>
      <c r="C572" s="78"/>
      <c r="D572" s="78"/>
      <c r="E572" s="78"/>
      <c r="F572" s="87"/>
      <c r="G572" s="78"/>
      <c r="J572" s="78"/>
      <c r="K572" s="78"/>
    </row>
    <row r="573" spans="1:11">
      <c r="A573" s="77"/>
      <c r="B573" s="104"/>
      <c r="C573" s="78"/>
      <c r="D573" s="78"/>
      <c r="E573" s="78"/>
      <c r="F573" s="87"/>
      <c r="G573" s="78"/>
      <c r="J573" s="78"/>
      <c r="K573" s="78"/>
    </row>
    <row r="574" spans="1:11">
      <c r="A574" s="77"/>
      <c r="B574" s="104"/>
      <c r="C574" s="78"/>
      <c r="D574" s="78"/>
      <c r="E574" s="78"/>
      <c r="F574" s="87"/>
      <c r="G574" s="78"/>
      <c r="J574" s="78"/>
      <c r="K574" s="78"/>
    </row>
    <row r="575" spans="1:11">
      <c r="A575" s="77"/>
      <c r="B575" s="104"/>
      <c r="C575" s="78"/>
      <c r="D575" s="78"/>
      <c r="E575" s="78"/>
      <c r="F575" s="87"/>
      <c r="G575" s="78"/>
      <c r="J575" s="78"/>
      <c r="K575" s="78"/>
    </row>
    <row r="576" spans="1:11">
      <c r="A576" s="77"/>
      <c r="B576" s="104"/>
      <c r="C576" s="78"/>
      <c r="D576" s="78"/>
      <c r="E576" s="78"/>
      <c r="F576" s="87"/>
      <c r="G576" s="78"/>
      <c r="J576" s="78"/>
      <c r="K576" s="78"/>
    </row>
    <row r="577" spans="1:11">
      <c r="A577" s="77"/>
      <c r="B577" s="104"/>
      <c r="C577" s="78"/>
      <c r="D577" s="78"/>
      <c r="E577" s="78"/>
      <c r="F577" s="87"/>
      <c r="G577" s="78"/>
      <c r="J577" s="78"/>
      <c r="K577" s="78"/>
    </row>
    <row r="578" spans="1:11">
      <c r="A578" s="77"/>
      <c r="B578" s="104"/>
      <c r="C578" s="78"/>
      <c r="D578" s="78"/>
      <c r="E578" s="78"/>
      <c r="F578" s="87"/>
      <c r="G578" s="78"/>
      <c r="J578" s="78"/>
      <c r="K578" s="78"/>
    </row>
    <row r="579" spans="1:11">
      <c r="A579" s="77"/>
      <c r="B579" s="104"/>
      <c r="C579" s="78"/>
      <c r="D579" s="78"/>
      <c r="E579" s="78"/>
      <c r="F579" s="87"/>
      <c r="G579" s="78"/>
      <c r="J579" s="78"/>
      <c r="K579" s="78"/>
    </row>
    <row r="580" spans="1:11">
      <c r="A580" s="77"/>
      <c r="B580" s="104"/>
      <c r="C580" s="78"/>
      <c r="D580" s="78"/>
      <c r="E580" s="78"/>
      <c r="F580" s="87"/>
      <c r="G580" s="78"/>
      <c r="J580" s="78"/>
      <c r="K580" s="78"/>
    </row>
    <row r="581" spans="1:11">
      <c r="A581" s="77"/>
      <c r="B581" s="104"/>
      <c r="C581" s="78"/>
      <c r="D581" s="78"/>
      <c r="E581" s="78"/>
      <c r="F581" s="87"/>
      <c r="G581" s="78"/>
      <c r="J581" s="78"/>
      <c r="K581" s="78"/>
    </row>
    <row r="582" spans="1:11">
      <c r="A582" s="77"/>
      <c r="B582" s="104"/>
      <c r="C582" s="78"/>
      <c r="D582" s="78"/>
      <c r="E582" s="78"/>
      <c r="F582" s="87"/>
      <c r="G582" s="78"/>
      <c r="J582" s="78"/>
      <c r="K582" s="78"/>
    </row>
    <row r="583" spans="1:11">
      <c r="A583" s="77"/>
      <c r="B583" s="104"/>
      <c r="C583" s="78"/>
      <c r="D583" s="78"/>
      <c r="E583" s="78"/>
      <c r="F583" s="87"/>
      <c r="G583" s="78"/>
      <c r="J583" s="78"/>
      <c r="K583" s="78"/>
    </row>
    <row r="584" spans="1:11">
      <c r="A584" s="77"/>
      <c r="B584" s="104"/>
      <c r="C584" s="78"/>
      <c r="D584" s="78"/>
      <c r="E584" s="78"/>
      <c r="F584" s="87"/>
      <c r="G584" s="78"/>
      <c r="J584" s="78"/>
      <c r="K584" s="78"/>
    </row>
    <row r="585" spans="1:11">
      <c r="A585" s="77"/>
      <c r="B585" s="104"/>
      <c r="C585" s="78"/>
      <c r="D585" s="78"/>
      <c r="E585" s="78"/>
      <c r="F585" s="87"/>
      <c r="G585" s="78"/>
      <c r="J585" s="78"/>
      <c r="K585" s="78"/>
    </row>
    <row r="586" spans="1:11">
      <c r="A586" s="77"/>
      <c r="B586" s="104"/>
      <c r="C586" s="78"/>
      <c r="D586" s="78"/>
      <c r="E586" s="78"/>
      <c r="F586" s="87"/>
      <c r="G586" s="78"/>
      <c r="J586" s="78"/>
      <c r="K586" s="78"/>
    </row>
    <row r="587" spans="1:11">
      <c r="A587" s="77"/>
      <c r="B587" s="104"/>
      <c r="C587" s="78"/>
      <c r="D587" s="78"/>
      <c r="E587" s="78"/>
      <c r="F587" s="87"/>
      <c r="G587" s="78"/>
      <c r="J587" s="78"/>
      <c r="K587" s="78"/>
    </row>
    <row r="588" spans="1:11">
      <c r="A588" s="77"/>
      <c r="B588" s="104"/>
      <c r="C588" s="78"/>
      <c r="D588" s="78"/>
      <c r="E588" s="78"/>
      <c r="F588" s="87"/>
      <c r="G588" s="78"/>
      <c r="J588" s="78"/>
      <c r="K588" s="78"/>
    </row>
    <row r="589" spans="1:11">
      <c r="A589" s="77"/>
      <c r="B589" s="104"/>
      <c r="C589" s="78"/>
      <c r="D589" s="78"/>
      <c r="E589" s="78"/>
      <c r="F589" s="87"/>
      <c r="G589" s="78"/>
      <c r="J589" s="78"/>
      <c r="K589" s="78"/>
    </row>
    <row r="590" spans="1:11">
      <c r="A590" s="77"/>
      <c r="B590" s="104"/>
      <c r="C590" s="78"/>
      <c r="D590" s="78"/>
      <c r="E590" s="78"/>
      <c r="F590" s="87"/>
      <c r="G590" s="78"/>
      <c r="J590" s="78"/>
      <c r="K590" s="78"/>
    </row>
    <row r="591" spans="1:11">
      <c r="A591" s="77"/>
      <c r="B591" s="104"/>
      <c r="C591" s="78"/>
      <c r="D591" s="78"/>
      <c r="E591" s="78"/>
      <c r="F591" s="87"/>
      <c r="G591" s="78"/>
      <c r="J591" s="78"/>
      <c r="K591" s="78"/>
    </row>
    <row r="592" spans="1:11">
      <c r="A592" s="77"/>
      <c r="B592" s="104"/>
      <c r="C592" s="78"/>
      <c r="D592" s="78"/>
      <c r="E592" s="78"/>
      <c r="F592" s="87"/>
      <c r="G592" s="78"/>
      <c r="J592" s="78"/>
      <c r="K592" s="78"/>
    </row>
    <row r="593" spans="1:11">
      <c r="A593" s="77"/>
      <c r="B593" s="104"/>
      <c r="C593" s="78"/>
      <c r="D593" s="78"/>
      <c r="E593" s="78"/>
      <c r="F593" s="87"/>
      <c r="G593" s="78"/>
      <c r="J593" s="78"/>
      <c r="K593" s="78"/>
    </row>
    <row r="594" spans="1:11">
      <c r="A594" s="77"/>
      <c r="B594" s="104"/>
      <c r="C594" s="78"/>
      <c r="D594" s="78"/>
      <c r="E594" s="78"/>
      <c r="F594" s="87"/>
      <c r="G594" s="78"/>
      <c r="J594" s="78"/>
      <c r="K594" s="78"/>
    </row>
    <row r="595" spans="1:11">
      <c r="A595" s="77"/>
      <c r="B595" s="104"/>
      <c r="C595" s="78"/>
      <c r="D595" s="78"/>
      <c r="E595" s="78"/>
      <c r="F595" s="87"/>
      <c r="G595" s="78"/>
      <c r="J595" s="78"/>
      <c r="K595" s="78"/>
    </row>
    <row r="596" spans="1:11">
      <c r="A596" s="77"/>
      <c r="B596" s="104"/>
      <c r="C596" s="78"/>
      <c r="D596" s="78"/>
      <c r="E596" s="78"/>
      <c r="F596" s="87"/>
      <c r="G596" s="78"/>
      <c r="J596" s="78"/>
      <c r="K596" s="78"/>
    </row>
    <row r="597" spans="1:11">
      <c r="A597" s="77"/>
      <c r="B597" s="104"/>
      <c r="C597" s="78"/>
      <c r="D597" s="78"/>
      <c r="E597" s="78"/>
      <c r="F597" s="87"/>
      <c r="G597" s="78"/>
      <c r="J597" s="78"/>
      <c r="K597" s="78"/>
    </row>
    <row r="598" spans="1:11">
      <c r="A598" s="77"/>
      <c r="B598" s="104"/>
      <c r="C598" s="78"/>
      <c r="D598" s="78"/>
      <c r="E598" s="78"/>
      <c r="F598" s="87"/>
      <c r="G598" s="78"/>
      <c r="J598" s="78"/>
      <c r="K598" s="78"/>
    </row>
    <row r="599" spans="1:11">
      <c r="A599" s="77"/>
      <c r="B599" s="104"/>
      <c r="C599" s="78"/>
      <c r="D599" s="78"/>
      <c r="E599" s="78"/>
      <c r="F599" s="87"/>
      <c r="G599" s="78"/>
      <c r="J599" s="78"/>
      <c r="K599" s="78"/>
    </row>
    <row r="600" spans="1:11">
      <c r="A600" s="77"/>
      <c r="B600" s="104"/>
      <c r="C600" s="78"/>
      <c r="D600" s="78"/>
      <c r="E600" s="78"/>
      <c r="F600" s="87"/>
      <c r="G600" s="78"/>
      <c r="J600" s="78"/>
      <c r="K600" s="78"/>
    </row>
    <row r="601" spans="1:11">
      <c r="A601" s="77"/>
      <c r="B601" s="104"/>
      <c r="C601" s="78"/>
      <c r="D601" s="78"/>
      <c r="E601" s="78"/>
      <c r="F601" s="87"/>
      <c r="G601" s="78"/>
      <c r="J601" s="78"/>
      <c r="K601" s="78"/>
    </row>
    <row r="602" spans="1:11">
      <c r="A602" s="77"/>
      <c r="B602" s="104"/>
      <c r="C602" s="78"/>
      <c r="D602" s="78"/>
      <c r="E602" s="78"/>
      <c r="F602" s="87"/>
      <c r="G602" s="78"/>
      <c r="J602" s="78"/>
      <c r="K602" s="78"/>
    </row>
    <row r="603" spans="1:11">
      <c r="A603" s="77"/>
      <c r="B603" s="104"/>
      <c r="C603" s="78"/>
      <c r="D603" s="78"/>
      <c r="E603" s="78"/>
      <c r="F603" s="87"/>
      <c r="G603" s="78"/>
      <c r="J603" s="78"/>
      <c r="K603" s="78"/>
    </row>
    <row r="604" spans="1:11">
      <c r="A604" s="77"/>
      <c r="B604" s="104"/>
      <c r="C604" s="78"/>
      <c r="D604" s="78"/>
      <c r="E604" s="78"/>
      <c r="F604" s="87"/>
      <c r="G604" s="78"/>
      <c r="J604" s="78"/>
      <c r="K604" s="78"/>
    </row>
    <row r="605" spans="1:11">
      <c r="A605" s="77"/>
      <c r="B605" s="104"/>
      <c r="C605" s="78"/>
      <c r="D605" s="78"/>
      <c r="E605" s="78"/>
      <c r="F605" s="87"/>
      <c r="G605" s="78"/>
      <c r="J605" s="78"/>
      <c r="K605" s="78"/>
    </row>
    <row r="606" spans="1:11">
      <c r="A606" s="77"/>
      <c r="B606" s="104"/>
      <c r="C606" s="78"/>
      <c r="D606" s="78"/>
      <c r="E606" s="78"/>
      <c r="F606" s="87"/>
      <c r="G606" s="78"/>
      <c r="J606" s="78"/>
      <c r="K606" s="78"/>
    </row>
    <row r="607" spans="1:11">
      <c r="A607" s="77"/>
      <c r="B607" s="104"/>
      <c r="C607" s="78"/>
      <c r="D607" s="78"/>
      <c r="E607" s="78"/>
      <c r="F607" s="87"/>
      <c r="G607" s="78"/>
      <c r="J607" s="78"/>
      <c r="K607" s="78"/>
    </row>
    <row r="608" spans="1:11">
      <c r="A608" s="77"/>
      <c r="B608" s="104"/>
      <c r="C608" s="78"/>
      <c r="D608" s="78"/>
      <c r="E608" s="78"/>
      <c r="F608" s="87"/>
      <c r="G608" s="78"/>
      <c r="J608" s="78"/>
      <c r="K608" s="78"/>
    </row>
    <row r="609" spans="1:11">
      <c r="A609" s="77"/>
      <c r="B609" s="104"/>
      <c r="C609" s="78"/>
      <c r="D609" s="78"/>
      <c r="E609" s="78"/>
      <c r="F609" s="87"/>
      <c r="G609" s="78"/>
      <c r="J609" s="78"/>
      <c r="K609" s="78"/>
    </row>
    <row r="610" spans="1:11">
      <c r="A610" s="77"/>
      <c r="B610" s="104"/>
      <c r="C610" s="78"/>
      <c r="D610" s="78"/>
      <c r="E610" s="78"/>
      <c r="F610" s="87"/>
      <c r="G610" s="78"/>
      <c r="J610" s="78"/>
      <c r="K610" s="78"/>
    </row>
    <row r="611" spans="1:11">
      <c r="A611" s="77"/>
      <c r="B611" s="104"/>
      <c r="C611" s="78"/>
      <c r="D611" s="78"/>
      <c r="E611" s="78"/>
      <c r="F611" s="87"/>
      <c r="G611" s="78"/>
      <c r="J611" s="78"/>
      <c r="K611" s="78"/>
    </row>
    <row r="612" spans="1:11">
      <c r="A612" s="77"/>
      <c r="B612" s="104"/>
      <c r="C612" s="78"/>
      <c r="D612" s="78"/>
      <c r="E612" s="78"/>
      <c r="F612" s="87"/>
      <c r="G612" s="78"/>
      <c r="J612" s="78"/>
      <c r="K612" s="78"/>
    </row>
    <row r="613" spans="1:11">
      <c r="A613" s="77"/>
      <c r="B613" s="104"/>
      <c r="C613" s="78"/>
      <c r="D613" s="78"/>
      <c r="E613" s="78"/>
      <c r="F613" s="87"/>
      <c r="G613" s="78"/>
      <c r="J613" s="78"/>
      <c r="K613" s="78"/>
    </row>
    <row r="614" spans="1:11">
      <c r="A614" s="77"/>
      <c r="B614" s="104"/>
      <c r="C614" s="78"/>
      <c r="D614" s="78"/>
      <c r="E614" s="78"/>
      <c r="F614" s="87"/>
      <c r="G614" s="78"/>
      <c r="J614" s="78"/>
      <c r="K614" s="78"/>
    </row>
    <row r="615" spans="1:11">
      <c r="A615" s="77"/>
      <c r="B615" s="104"/>
      <c r="C615" s="78"/>
      <c r="D615" s="78"/>
      <c r="E615" s="78"/>
      <c r="F615" s="87"/>
      <c r="G615" s="78"/>
      <c r="J615" s="78"/>
      <c r="K615" s="78"/>
    </row>
    <row r="616" spans="1:11">
      <c r="A616" s="77"/>
      <c r="B616" s="104"/>
      <c r="C616" s="78"/>
      <c r="D616" s="78"/>
      <c r="E616" s="78"/>
      <c r="F616" s="87"/>
      <c r="G616" s="78"/>
      <c r="J616" s="78"/>
      <c r="K616" s="78"/>
    </row>
    <row r="617" spans="1:11">
      <c r="A617" s="77"/>
      <c r="B617" s="104"/>
      <c r="C617" s="78"/>
      <c r="D617" s="78"/>
      <c r="E617" s="78"/>
      <c r="F617" s="87"/>
      <c r="G617" s="78"/>
      <c r="J617" s="78"/>
      <c r="K617" s="78"/>
    </row>
    <row r="618" spans="1:11">
      <c r="A618" s="77"/>
      <c r="B618" s="104"/>
      <c r="C618" s="78"/>
      <c r="D618" s="78"/>
      <c r="E618" s="78"/>
      <c r="F618" s="87"/>
      <c r="G618" s="78"/>
      <c r="J618" s="78"/>
      <c r="K618" s="78"/>
    </row>
    <row r="619" spans="1:11">
      <c r="A619" s="77"/>
      <c r="B619" s="104"/>
      <c r="C619" s="78"/>
      <c r="D619" s="78"/>
      <c r="E619" s="78"/>
      <c r="F619" s="87"/>
      <c r="G619" s="78"/>
      <c r="J619" s="78"/>
      <c r="K619" s="78"/>
    </row>
    <row r="620" spans="1:11">
      <c r="A620" s="77"/>
      <c r="B620" s="104"/>
      <c r="C620" s="78"/>
      <c r="D620" s="78"/>
      <c r="E620" s="78"/>
      <c r="F620" s="87"/>
      <c r="G620" s="78"/>
      <c r="J620" s="78"/>
      <c r="K620" s="78"/>
    </row>
    <row r="621" spans="1:11">
      <c r="A621" s="77"/>
      <c r="B621" s="104"/>
      <c r="C621" s="78"/>
      <c r="D621" s="78"/>
      <c r="E621" s="78"/>
      <c r="F621" s="87"/>
      <c r="G621" s="78"/>
      <c r="J621" s="78"/>
      <c r="K621" s="78"/>
    </row>
    <row r="622" spans="1:11">
      <c r="A622" s="77"/>
      <c r="B622" s="104"/>
      <c r="C622" s="78"/>
      <c r="D622" s="78"/>
      <c r="E622" s="78"/>
      <c r="F622" s="87"/>
      <c r="G622" s="78"/>
      <c r="J622" s="78"/>
      <c r="K622" s="78"/>
    </row>
    <row r="623" spans="1:11">
      <c r="A623" s="77"/>
      <c r="B623" s="104"/>
      <c r="C623" s="78"/>
      <c r="D623" s="78"/>
      <c r="E623" s="78"/>
      <c r="F623" s="87"/>
      <c r="G623" s="78"/>
      <c r="J623" s="78"/>
      <c r="K623" s="78"/>
    </row>
    <row r="624" spans="1:11">
      <c r="A624" s="77"/>
      <c r="B624" s="104"/>
      <c r="C624" s="78"/>
      <c r="D624" s="78"/>
      <c r="E624" s="78"/>
      <c r="F624" s="87"/>
      <c r="G624" s="78"/>
      <c r="J624" s="78"/>
      <c r="K624" s="78"/>
    </row>
    <row r="625" spans="1:11">
      <c r="A625" s="77"/>
      <c r="B625" s="104"/>
      <c r="C625" s="78"/>
      <c r="D625" s="78"/>
      <c r="E625" s="78"/>
      <c r="F625" s="87"/>
      <c r="G625" s="78"/>
      <c r="J625" s="78"/>
      <c r="K625" s="78"/>
    </row>
    <row r="626" spans="1:11">
      <c r="A626" s="77"/>
      <c r="B626" s="104"/>
      <c r="C626" s="78"/>
      <c r="D626" s="78"/>
      <c r="E626" s="78"/>
      <c r="F626" s="87"/>
      <c r="G626" s="78"/>
      <c r="J626" s="78"/>
      <c r="K626" s="78"/>
    </row>
    <row r="627" spans="1:11">
      <c r="A627" s="77"/>
      <c r="B627" s="104"/>
      <c r="C627" s="78"/>
      <c r="D627" s="78"/>
      <c r="E627" s="78"/>
      <c r="F627" s="87"/>
      <c r="G627" s="78"/>
      <c r="J627" s="78"/>
      <c r="K627" s="78"/>
    </row>
    <row r="628" spans="1:11">
      <c r="A628" s="77"/>
      <c r="B628" s="104"/>
      <c r="C628" s="78"/>
      <c r="D628" s="78"/>
      <c r="E628" s="78"/>
      <c r="F628" s="87"/>
      <c r="G628" s="78"/>
      <c r="J628" s="78"/>
      <c r="K628" s="78"/>
    </row>
    <row r="629" spans="1:11">
      <c r="A629" s="77"/>
      <c r="B629" s="104"/>
      <c r="C629" s="78"/>
      <c r="D629" s="78"/>
      <c r="E629" s="78"/>
      <c r="F629" s="87"/>
      <c r="G629" s="78"/>
      <c r="J629" s="78"/>
      <c r="K629" s="78"/>
    </row>
    <row r="630" spans="1:11">
      <c r="A630" s="77"/>
      <c r="B630" s="104"/>
      <c r="C630" s="78"/>
      <c r="D630" s="78"/>
      <c r="E630" s="78"/>
      <c r="F630" s="87"/>
      <c r="G630" s="78"/>
      <c r="J630" s="78"/>
      <c r="K630" s="78"/>
    </row>
    <row r="631" spans="1:11">
      <c r="A631" s="77"/>
      <c r="B631" s="104"/>
      <c r="C631" s="78"/>
      <c r="D631" s="78"/>
      <c r="E631" s="78"/>
      <c r="F631" s="87"/>
      <c r="G631" s="78"/>
      <c r="J631" s="78"/>
      <c r="K631" s="78"/>
    </row>
    <row r="632" spans="1:11">
      <c r="A632" s="77"/>
      <c r="B632" s="104"/>
      <c r="C632" s="78"/>
      <c r="D632" s="78"/>
      <c r="E632" s="78"/>
      <c r="F632" s="87"/>
      <c r="G632" s="78"/>
      <c r="J632" s="78"/>
      <c r="K632" s="78"/>
    </row>
    <row r="633" spans="1:11">
      <c r="A633" s="77"/>
      <c r="B633" s="104"/>
      <c r="C633" s="78"/>
      <c r="D633" s="78"/>
      <c r="E633" s="78"/>
      <c r="F633" s="87"/>
      <c r="G633" s="78"/>
      <c r="J633" s="78"/>
      <c r="K633" s="78"/>
    </row>
    <row r="634" spans="1:11">
      <c r="A634" s="77"/>
      <c r="B634" s="104"/>
      <c r="C634" s="78"/>
      <c r="D634" s="78"/>
      <c r="E634" s="78"/>
      <c r="F634" s="87"/>
      <c r="G634" s="78"/>
      <c r="J634" s="78"/>
      <c r="K634" s="78"/>
    </row>
    <row r="635" spans="1:11">
      <c r="A635" s="77"/>
      <c r="B635" s="104"/>
      <c r="C635" s="78"/>
      <c r="D635" s="78"/>
      <c r="E635" s="78"/>
      <c r="F635" s="87"/>
      <c r="G635" s="78"/>
      <c r="J635" s="78"/>
      <c r="K635" s="78"/>
    </row>
    <row r="636" spans="1:11">
      <c r="A636" s="77"/>
      <c r="B636" s="104"/>
      <c r="C636" s="78"/>
      <c r="D636" s="78"/>
      <c r="E636" s="78"/>
      <c r="F636" s="87"/>
      <c r="G636" s="78"/>
      <c r="J636" s="78"/>
      <c r="K636" s="78"/>
    </row>
    <row r="637" spans="1:11">
      <c r="A637" s="77"/>
      <c r="B637" s="104"/>
      <c r="C637" s="78"/>
      <c r="D637" s="78"/>
      <c r="E637" s="78"/>
      <c r="F637" s="87"/>
      <c r="G637" s="78"/>
      <c r="J637" s="78"/>
      <c r="K637" s="78"/>
    </row>
    <row r="638" spans="1:11">
      <c r="A638" s="77"/>
      <c r="B638" s="104"/>
      <c r="C638" s="78"/>
      <c r="D638" s="78"/>
      <c r="E638" s="78"/>
      <c r="F638" s="87"/>
      <c r="G638" s="78"/>
      <c r="J638" s="78"/>
      <c r="K638" s="78"/>
    </row>
    <row r="639" spans="1:11">
      <c r="A639" s="77"/>
      <c r="B639" s="104"/>
      <c r="C639" s="78"/>
      <c r="D639" s="78"/>
      <c r="E639" s="78"/>
      <c r="F639" s="87"/>
      <c r="G639" s="78"/>
      <c r="J639" s="78"/>
      <c r="K639" s="78"/>
    </row>
    <row r="640" spans="1:11">
      <c r="A640" s="77"/>
      <c r="B640" s="104"/>
      <c r="C640" s="78"/>
      <c r="D640" s="78"/>
      <c r="E640" s="78"/>
      <c r="F640" s="87"/>
      <c r="G640" s="78"/>
      <c r="J640" s="78"/>
      <c r="K640" s="78"/>
    </row>
    <row r="641" spans="1:11">
      <c r="A641" s="77"/>
      <c r="B641" s="104"/>
      <c r="C641" s="78"/>
      <c r="D641" s="78"/>
      <c r="E641" s="78"/>
      <c r="F641" s="87"/>
      <c r="G641" s="78"/>
      <c r="J641" s="78"/>
      <c r="K641" s="78"/>
    </row>
    <row r="642" spans="1:11">
      <c r="A642" s="77"/>
      <c r="B642" s="104"/>
      <c r="C642" s="78"/>
      <c r="D642" s="78"/>
      <c r="E642" s="78"/>
      <c r="F642" s="87"/>
      <c r="G642" s="78"/>
      <c r="J642" s="78"/>
      <c r="K642" s="78"/>
    </row>
    <row r="643" spans="1:11">
      <c r="A643" s="77"/>
      <c r="B643" s="104"/>
      <c r="C643" s="78"/>
      <c r="D643" s="78"/>
      <c r="E643" s="78"/>
      <c r="F643" s="87"/>
      <c r="G643" s="78"/>
      <c r="J643" s="78"/>
      <c r="K643" s="78"/>
    </row>
    <row r="644" spans="1:11">
      <c r="A644" s="77"/>
      <c r="B644" s="104"/>
      <c r="C644" s="78"/>
      <c r="D644" s="78"/>
      <c r="E644" s="78"/>
      <c r="F644" s="87"/>
      <c r="G644" s="78"/>
      <c r="J644" s="78"/>
      <c r="K644" s="78"/>
    </row>
    <row r="645" spans="1:11">
      <c r="A645" s="77"/>
      <c r="B645" s="104"/>
      <c r="C645" s="78"/>
      <c r="D645" s="78"/>
      <c r="E645" s="78"/>
      <c r="F645" s="87"/>
      <c r="G645" s="78"/>
      <c r="J645" s="78"/>
      <c r="K645" s="78"/>
    </row>
    <row r="646" spans="1:11">
      <c r="A646" s="77"/>
      <c r="B646" s="104"/>
      <c r="C646" s="78"/>
      <c r="D646" s="78"/>
      <c r="E646" s="78"/>
      <c r="F646" s="87"/>
      <c r="G646" s="78"/>
      <c r="J646" s="78"/>
      <c r="K646" s="78"/>
    </row>
    <row r="647" spans="1:11">
      <c r="A647" s="77"/>
      <c r="B647" s="104"/>
      <c r="C647" s="78"/>
      <c r="D647" s="78"/>
      <c r="E647" s="78"/>
      <c r="F647" s="87"/>
      <c r="G647" s="78"/>
      <c r="J647" s="78"/>
      <c r="K647" s="78"/>
    </row>
    <row r="648" spans="1:11">
      <c r="A648" s="77"/>
      <c r="B648" s="104"/>
      <c r="C648" s="78"/>
      <c r="D648" s="78"/>
      <c r="E648" s="78"/>
      <c r="F648" s="87"/>
      <c r="G648" s="78"/>
      <c r="J648" s="78"/>
      <c r="K648" s="78"/>
    </row>
    <row r="649" spans="1:11">
      <c r="A649" s="77"/>
      <c r="B649" s="104"/>
      <c r="C649" s="78"/>
      <c r="D649" s="78"/>
      <c r="E649" s="78"/>
      <c r="F649" s="87"/>
      <c r="G649" s="78"/>
      <c r="J649" s="78"/>
      <c r="K649" s="78"/>
    </row>
    <row r="650" spans="1:11">
      <c r="A650" s="77"/>
      <c r="B650" s="104"/>
      <c r="C650" s="78"/>
      <c r="D650" s="78"/>
      <c r="E650" s="78"/>
      <c r="F650" s="87"/>
      <c r="G650" s="78"/>
      <c r="J650" s="78"/>
      <c r="K650" s="78"/>
    </row>
    <row r="651" spans="1:11">
      <c r="A651" s="77"/>
      <c r="B651" s="104"/>
      <c r="C651" s="78"/>
      <c r="D651" s="78"/>
      <c r="E651" s="78"/>
      <c r="F651" s="87"/>
      <c r="G651" s="78"/>
      <c r="J651" s="78"/>
      <c r="K651" s="78"/>
    </row>
    <row r="652" spans="1:11">
      <c r="A652" s="77"/>
      <c r="B652" s="104"/>
      <c r="C652" s="78"/>
      <c r="D652" s="78"/>
      <c r="E652" s="78"/>
      <c r="F652" s="87"/>
      <c r="G652" s="78"/>
      <c r="J652" s="78"/>
      <c r="K652" s="78"/>
    </row>
    <row r="653" spans="1:11">
      <c r="A653" s="77"/>
      <c r="B653" s="104"/>
      <c r="C653" s="78"/>
      <c r="D653" s="78"/>
      <c r="E653" s="78"/>
      <c r="F653" s="87"/>
      <c r="G653" s="78"/>
      <c r="J653" s="78"/>
      <c r="K653" s="78"/>
    </row>
    <row r="654" spans="1:11">
      <c r="A654" s="77"/>
      <c r="B654" s="104"/>
      <c r="C654" s="78"/>
      <c r="D654" s="78"/>
      <c r="E654" s="78"/>
      <c r="F654" s="87"/>
      <c r="G654" s="78"/>
      <c r="J654" s="78"/>
      <c r="K654" s="78"/>
    </row>
    <row r="655" spans="1:11">
      <c r="A655" s="77"/>
      <c r="B655" s="104"/>
      <c r="C655" s="78"/>
      <c r="D655" s="78"/>
      <c r="E655" s="78"/>
      <c r="F655" s="87"/>
      <c r="G655" s="78"/>
      <c r="J655" s="78"/>
      <c r="K655" s="78"/>
    </row>
    <row r="656" spans="1:11">
      <c r="A656" s="77"/>
      <c r="B656" s="104"/>
      <c r="C656" s="78"/>
      <c r="D656" s="78"/>
      <c r="E656" s="78"/>
      <c r="F656" s="87"/>
      <c r="G656" s="78"/>
      <c r="J656" s="78"/>
      <c r="K656" s="78"/>
    </row>
    <row r="657" spans="1:11">
      <c r="A657" s="77"/>
      <c r="B657" s="104"/>
      <c r="C657" s="78"/>
      <c r="D657" s="78"/>
      <c r="E657" s="78"/>
      <c r="F657" s="87"/>
      <c r="G657" s="78"/>
      <c r="J657" s="78"/>
      <c r="K657" s="78"/>
    </row>
    <row r="658" spans="1:11">
      <c r="A658" s="77"/>
      <c r="B658" s="104"/>
      <c r="C658" s="78"/>
      <c r="D658" s="78"/>
      <c r="E658" s="78"/>
      <c r="F658" s="87"/>
      <c r="G658" s="78"/>
      <c r="J658" s="78"/>
      <c r="K658" s="78"/>
    </row>
    <row r="659" spans="1:11">
      <c r="A659" s="77"/>
      <c r="B659" s="104"/>
      <c r="C659" s="78"/>
      <c r="D659" s="78"/>
      <c r="E659" s="78"/>
      <c r="F659" s="87"/>
      <c r="G659" s="78"/>
      <c r="J659" s="78"/>
      <c r="K659" s="78"/>
    </row>
    <row r="660" spans="1:11">
      <c r="A660" s="77"/>
      <c r="B660" s="104"/>
      <c r="C660" s="78"/>
      <c r="D660" s="78"/>
      <c r="E660" s="78"/>
      <c r="F660" s="87"/>
      <c r="G660" s="78"/>
      <c r="J660" s="78"/>
      <c r="K660" s="78"/>
    </row>
    <row r="661" spans="1:11">
      <c r="A661" s="77"/>
      <c r="B661" s="104"/>
      <c r="C661" s="78"/>
      <c r="D661" s="78"/>
      <c r="E661" s="78"/>
      <c r="F661" s="87"/>
      <c r="G661" s="78"/>
      <c r="J661" s="78"/>
      <c r="K661" s="78"/>
    </row>
    <row r="662" spans="1:11">
      <c r="A662" s="77"/>
      <c r="B662" s="104"/>
      <c r="C662" s="78"/>
      <c r="D662" s="78"/>
      <c r="E662" s="78"/>
      <c r="F662" s="87"/>
      <c r="G662" s="78"/>
      <c r="J662" s="78"/>
      <c r="K662" s="78"/>
    </row>
    <row r="663" spans="1:11">
      <c r="A663" s="77"/>
      <c r="B663" s="104"/>
      <c r="C663" s="78"/>
      <c r="D663" s="78"/>
      <c r="E663" s="78"/>
      <c r="F663" s="87"/>
      <c r="G663" s="78"/>
      <c r="J663" s="78"/>
      <c r="K663" s="78"/>
    </row>
    <row r="664" spans="1:11">
      <c r="A664" s="77"/>
      <c r="B664" s="104"/>
      <c r="C664" s="78"/>
      <c r="D664" s="78"/>
      <c r="E664" s="78"/>
      <c r="F664" s="87"/>
      <c r="G664" s="78"/>
      <c r="J664" s="78"/>
      <c r="K664" s="78"/>
    </row>
    <row r="665" spans="1:11">
      <c r="A665" s="77"/>
      <c r="B665" s="104"/>
      <c r="C665" s="78"/>
      <c r="D665" s="78"/>
      <c r="E665" s="78"/>
      <c r="F665" s="87"/>
      <c r="G665" s="78"/>
      <c r="J665" s="78"/>
      <c r="K665" s="78"/>
    </row>
    <row r="666" spans="1:11">
      <c r="A666" s="77"/>
      <c r="B666" s="104"/>
      <c r="C666" s="78"/>
      <c r="D666" s="78"/>
      <c r="E666" s="78"/>
      <c r="F666" s="87"/>
      <c r="G666" s="78"/>
      <c r="J666" s="78"/>
      <c r="K666" s="78"/>
    </row>
    <row r="667" spans="1:11">
      <c r="A667" s="77"/>
      <c r="B667" s="104"/>
      <c r="C667" s="78"/>
      <c r="D667" s="78"/>
      <c r="E667" s="78"/>
      <c r="F667" s="87"/>
      <c r="G667" s="78"/>
      <c r="J667" s="78"/>
      <c r="K667" s="78"/>
    </row>
    <row r="668" spans="1:11">
      <c r="A668" s="77"/>
      <c r="B668" s="104"/>
      <c r="C668" s="78"/>
      <c r="D668" s="78"/>
      <c r="E668" s="78"/>
      <c r="F668" s="87"/>
      <c r="G668" s="78"/>
      <c r="J668" s="78"/>
      <c r="K668" s="78"/>
    </row>
    <row r="669" spans="1:11">
      <c r="A669" s="77"/>
      <c r="B669" s="104"/>
      <c r="C669" s="78"/>
      <c r="D669" s="78"/>
      <c r="E669" s="78"/>
      <c r="F669" s="87"/>
      <c r="G669" s="78"/>
      <c r="J669" s="78"/>
      <c r="K669" s="78"/>
    </row>
    <row r="670" spans="1:11">
      <c r="A670" s="77"/>
      <c r="B670" s="104"/>
      <c r="C670" s="78"/>
      <c r="D670" s="78"/>
      <c r="E670" s="78"/>
      <c r="F670" s="87"/>
      <c r="G670" s="78"/>
      <c r="J670" s="78"/>
      <c r="K670" s="78"/>
    </row>
    <row r="671" spans="1:11">
      <c r="A671" s="77"/>
      <c r="B671" s="104"/>
      <c r="C671" s="78"/>
      <c r="D671" s="78"/>
      <c r="E671" s="78"/>
      <c r="F671" s="87"/>
      <c r="G671" s="78"/>
      <c r="J671" s="78"/>
      <c r="K671" s="78"/>
    </row>
    <row r="672" spans="1:11">
      <c r="A672" s="77"/>
      <c r="B672" s="104"/>
      <c r="C672" s="78"/>
      <c r="D672" s="78"/>
      <c r="E672" s="78"/>
      <c r="F672" s="87"/>
      <c r="G672" s="78"/>
      <c r="J672" s="78"/>
      <c r="K672" s="78"/>
    </row>
    <row r="673" spans="1:11">
      <c r="A673" s="77"/>
      <c r="B673" s="104"/>
      <c r="C673" s="78"/>
      <c r="D673" s="78"/>
      <c r="E673" s="78"/>
      <c r="F673" s="87"/>
      <c r="G673" s="78"/>
      <c r="J673" s="78"/>
      <c r="K673" s="78"/>
    </row>
    <row r="674" spans="1:11">
      <c r="A674" s="77"/>
      <c r="B674" s="104"/>
      <c r="C674" s="78"/>
      <c r="D674" s="78"/>
      <c r="E674" s="78"/>
      <c r="F674" s="87"/>
      <c r="G674" s="78"/>
      <c r="J674" s="78"/>
      <c r="K674" s="78"/>
    </row>
    <row r="675" spans="1:11">
      <c r="A675" s="77"/>
      <c r="B675" s="104"/>
      <c r="C675" s="78"/>
      <c r="D675" s="78"/>
      <c r="E675" s="78"/>
      <c r="F675" s="87"/>
      <c r="G675" s="78"/>
      <c r="J675" s="78"/>
      <c r="K675" s="78"/>
    </row>
    <row r="676" spans="1:11">
      <c r="A676" s="77"/>
      <c r="B676" s="104"/>
      <c r="C676" s="78"/>
      <c r="D676" s="78"/>
      <c r="E676" s="78"/>
      <c r="F676" s="87"/>
      <c r="G676" s="78"/>
      <c r="J676" s="78"/>
      <c r="K676" s="78"/>
    </row>
    <row r="677" spans="1:11">
      <c r="A677" s="77"/>
      <c r="B677" s="104"/>
      <c r="C677" s="78"/>
      <c r="D677" s="78"/>
      <c r="E677" s="78"/>
      <c r="F677" s="87"/>
      <c r="G677" s="78"/>
      <c r="J677" s="78"/>
      <c r="K677" s="78"/>
    </row>
    <row r="678" spans="1:11">
      <c r="A678" s="77"/>
      <c r="B678" s="104"/>
      <c r="C678" s="78"/>
      <c r="D678" s="78"/>
      <c r="E678" s="78"/>
      <c r="F678" s="87"/>
      <c r="G678" s="78"/>
      <c r="J678" s="78"/>
      <c r="K678" s="78"/>
    </row>
    <row r="679" spans="1:11">
      <c r="A679" s="77"/>
      <c r="B679" s="104"/>
      <c r="C679" s="78"/>
      <c r="D679" s="78"/>
      <c r="E679" s="78"/>
      <c r="F679" s="87"/>
      <c r="G679" s="78"/>
      <c r="J679" s="78"/>
      <c r="K679" s="78"/>
    </row>
    <row r="680" spans="1:11">
      <c r="A680" s="77"/>
      <c r="B680" s="104"/>
      <c r="C680" s="78"/>
      <c r="D680" s="78"/>
      <c r="E680" s="78"/>
      <c r="F680" s="87"/>
      <c r="G680" s="78"/>
      <c r="J680" s="78"/>
      <c r="K680" s="78"/>
    </row>
    <row r="681" spans="1:11">
      <c r="A681" s="77"/>
      <c r="B681" s="104"/>
      <c r="C681" s="78"/>
      <c r="D681" s="78"/>
      <c r="E681" s="78"/>
      <c r="F681" s="87"/>
      <c r="G681" s="78"/>
      <c r="J681" s="78"/>
      <c r="K681" s="78"/>
    </row>
    <row r="682" spans="1:11">
      <c r="A682" s="77"/>
      <c r="B682" s="104"/>
      <c r="C682" s="78"/>
      <c r="D682" s="78"/>
      <c r="E682" s="78"/>
      <c r="F682" s="87"/>
      <c r="G682" s="78"/>
      <c r="J682" s="78"/>
      <c r="K682" s="78"/>
    </row>
    <row r="683" spans="1:11">
      <c r="A683" s="77"/>
      <c r="B683" s="104"/>
      <c r="C683" s="78"/>
      <c r="D683" s="78"/>
      <c r="E683" s="78"/>
      <c r="F683" s="87"/>
      <c r="G683" s="78"/>
      <c r="J683" s="78"/>
      <c r="K683" s="78"/>
    </row>
    <row r="684" spans="1:11">
      <c r="A684" s="77"/>
      <c r="B684" s="104"/>
      <c r="C684" s="78"/>
      <c r="D684" s="78"/>
      <c r="E684" s="78"/>
      <c r="F684" s="87"/>
      <c r="G684" s="78"/>
      <c r="J684" s="78"/>
      <c r="K684" s="78"/>
    </row>
    <row r="685" spans="1:11">
      <c r="A685" s="77"/>
      <c r="B685" s="104"/>
      <c r="C685" s="78"/>
      <c r="D685" s="78"/>
      <c r="E685" s="78"/>
      <c r="F685" s="87"/>
      <c r="G685" s="78"/>
      <c r="J685" s="78"/>
      <c r="K685" s="78"/>
    </row>
    <row r="686" spans="1:11">
      <c r="A686" s="77"/>
      <c r="B686" s="104"/>
      <c r="C686" s="78"/>
      <c r="D686" s="78"/>
      <c r="E686" s="78"/>
      <c r="F686" s="87"/>
      <c r="G686" s="78"/>
      <c r="J686" s="78"/>
      <c r="K686" s="78"/>
    </row>
    <row r="687" spans="1:11">
      <c r="A687" s="77"/>
      <c r="B687" s="104"/>
      <c r="C687" s="78"/>
      <c r="D687" s="78"/>
      <c r="E687" s="78"/>
      <c r="F687" s="87"/>
      <c r="G687" s="78"/>
      <c r="J687" s="78"/>
      <c r="K687" s="78"/>
    </row>
    <row r="688" spans="1:11">
      <c r="A688" s="77"/>
      <c r="B688" s="104"/>
      <c r="C688" s="78"/>
      <c r="D688" s="78"/>
      <c r="E688" s="78"/>
      <c r="F688" s="87"/>
      <c r="G688" s="78"/>
      <c r="J688" s="78"/>
      <c r="K688" s="78"/>
    </row>
    <row r="689" spans="1:11">
      <c r="A689" s="77"/>
      <c r="B689" s="104"/>
      <c r="C689" s="78"/>
      <c r="D689" s="78"/>
      <c r="E689" s="78"/>
      <c r="F689" s="87"/>
      <c r="G689" s="78"/>
      <c r="J689" s="78"/>
      <c r="K689" s="78"/>
    </row>
    <row r="690" spans="1:11">
      <c r="A690" s="77"/>
      <c r="B690" s="104"/>
      <c r="C690" s="78"/>
      <c r="D690" s="78"/>
      <c r="E690" s="78"/>
      <c r="F690" s="87"/>
      <c r="G690" s="78"/>
      <c r="J690" s="78"/>
      <c r="K690" s="78"/>
    </row>
    <row r="691" spans="1:11">
      <c r="A691" s="77"/>
      <c r="B691" s="104"/>
      <c r="C691" s="78"/>
      <c r="D691" s="78"/>
      <c r="E691" s="78"/>
      <c r="F691" s="87"/>
      <c r="G691" s="78"/>
      <c r="J691" s="78"/>
      <c r="K691" s="78"/>
    </row>
    <row r="692" spans="1:11">
      <c r="A692" s="77"/>
      <c r="B692" s="104"/>
      <c r="C692" s="78"/>
      <c r="D692" s="78"/>
      <c r="E692" s="78"/>
      <c r="F692" s="87"/>
      <c r="G692" s="78"/>
      <c r="J692" s="78"/>
      <c r="K692" s="78"/>
    </row>
    <row r="693" spans="1:11">
      <c r="A693" s="77"/>
      <c r="B693" s="104"/>
      <c r="C693" s="78"/>
      <c r="D693" s="78"/>
      <c r="E693" s="78"/>
      <c r="F693" s="87"/>
      <c r="G693" s="78"/>
      <c r="J693" s="78"/>
      <c r="K693" s="78"/>
    </row>
    <row r="694" spans="1:11">
      <c r="A694" s="77"/>
      <c r="B694" s="104"/>
      <c r="C694" s="78"/>
      <c r="D694" s="78"/>
      <c r="E694" s="78"/>
      <c r="F694" s="87"/>
      <c r="G694" s="78"/>
      <c r="J694" s="78"/>
      <c r="K694" s="78"/>
    </row>
    <row r="695" spans="1:11">
      <c r="A695" s="77"/>
      <c r="B695" s="104"/>
      <c r="C695" s="78"/>
      <c r="D695" s="78"/>
      <c r="E695" s="78"/>
      <c r="F695" s="87"/>
      <c r="G695" s="78"/>
      <c r="J695" s="78"/>
      <c r="K695" s="78"/>
    </row>
    <row r="696" spans="1:11">
      <c r="A696" s="77"/>
      <c r="B696" s="104"/>
      <c r="C696" s="78"/>
      <c r="D696" s="78"/>
      <c r="E696" s="78"/>
      <c r="F696" s="87"/>
      <c r="G696" s="78"/>
      <c r="J696" s="78"/>
      <c r="K696" s="78"/>
    </row>
    <row r="697" spans="1:11">
      <c r="A697" s="77"/>
      <c r="B697" s="104"/>
      <c r="C697" s="78"/>
      <c r="D697" s="78"/>
      <c r="E697" s="78"/>
      <c r="F697" s="87"/>
      <c r="G697" s="78"/>
      <c r="J697" s="78"/>
      <c r="K697" s="78"/>
    </row>
    <row r="698" spans="1:11">
      <c r="A698" s="77"/>
      <c r="B698" s="104"/>
      <c r="C698" s="78"/>
      <c r="D698" s="78"/>
      <c r="E698" s="78"/>
      <c r="F698" s="87"/>
      <c r="G698" s="78"/>
      <c r="J698" s="78"/>
      <c r="K698" s="78"/>
    </row>
    <row r="699" spans="1:11">
      <c r="A699" s="77"/>
      <c r="B699" s="104"/>
      <c r="C699" s="78"/>
      <c r="D699" s="78"/>
      <c r="E699" s="78"/>
      <c r="F699" s="87"/>
      <c r="G699" s="78"/>
      <c r="J699" s="78"/>
      <c r="K699" s="78"/>
    </row>
    <row r="700" spans="1:11">
      <c r="A700" s="77"/>
      <c r="B700" s="104"/>
      <c r="C700" s="78"/>
      <c r="D700" s="78"/>
      <c r="E700" s="78"/>
      <c r="F700" s="87"/>
      <c r="G700" s="78"/>
      <c r="J700" s="78"/>
      <c r="K700" s="78"/>
    </row>
    <row r="701" spans="1:11">
      <c r="A701" s="77"/>
      <c r="B701" s="104"/>
      <c r="C701" s="78"/>
      <c r="D701" s="78"/>
      <c r="E701" s="78"/>
      <c r="F701" s="87"/>
      <c r="G701" s="78"/>
      <c r="J701" s="78"/>
      <c r="K701" s="78"/>
    </row>
    <row r="702" spans="1:11">
      <c r="A702" s="77"/>
      <c r="B702" s="104"/>
      <c r="C702" s="78"/>
      <c r="D702" s="78"/>
      <c r="E702" s="78"/>
      <c r="F702" s="87"/>
      <c r="G702" s="78"/>
      <c r="J702" s="78"/>
      <c r="K702" s="78"/>
    </row>
    <row r="703" spans="1:11">
      <c r="A703" s="77"/>
      <c r="B703" s="104"/>
      <c r="C703" s="78"/>
      <c r="D703" s="78"/>
      <c r="E703" s="78"/>
      <c r="F703" s="87"/>
      <c r="G703" s="78"/>
      <c r="J703" s="78"/>
      <c r="K703" s="78"/>
    </row>
    <row r="704" spans="1:11">
      <c r="A704" s="77"/>
      <c r="B704" s="104"/>
      <c r="C704" s="78"/>
      <c r="D704" s="78"/>
      <c r="E704" s="78"/>
      <c r="F704" s="87"/>
      <c r="G704" s="78"/>
      <c r="J704" s="78"/>
      <c r="K704" s="78"/>
    </row>
    <row r="705" spans="1:11">
      <c r="A705" s="77"/>
      <c r="B705" s="104"/>
      <c r="C705" s="78"/>
      <c r="D705" s="78"/>
      <c r="E705" s="78"/>
      <c r="F705" s="87"/>
      <c r="G705" s="78"/>
      <c r="J705" s="78"/>
      <c r="K705" s="78"/>
    </row>
    <row r="706" spans="1:11">
      <c r="A706" s="77"/>
      <c r="B706" s="104"/>
      <c r="C706" s="78"/>
      <c r="D706" s="78"/>
      <c r="E706" s="78"/>
      <c r="F706" s="87"/>
      <c r="G706" s="78"/>
      <c r="J706" s="78"/>
      <c r="K706" s="78"/>
    </row>
    <row r="707" spans="1:11">
      <c r="A707" s="77"/>
      <c r="B707" s="104"/>
      <c r="C707" s="78"/>
      <c r="D707" s="78"/>
      <c r="E707" s="78"/>
      <c r="F707" s="87"/>
      <c r="G707" s="78"/>
      <c r="J707" s="78"/>
      <c r="K707" s="78"/>
    </row>
    <row r="708" spans="1:11">
      <c r="A708" s="77"/>
      <c r="B708" s="104"/>
      <c r="C708" s="78"/>
      <c r="D708" s="78"/>
      <c r="E708" s="78"/>
      <c r="F708" s="87"/>
      <c r="G708" s="78"/>
      <c r="J708" s="78"/>
      <c r="K708" s="78"/>
    </row>
    <row r="709" spans="1:11">
      <c r="A709" s="77"/>
      <c r="B709" s="104"/>
      <c r="C709" s="78"/>
      <c r="D709" s="78"/>
      <c r="E709" s="78"/>
      <c r="F709" s="87"/>
      <c r="G709" s="78"/>
      <c r="J709" s="78"/>
      <c r="K709" s="78"/>
    </row>
    <row r="710" spans="1:11">
      <c r="A710" s="77"/>
      <c r="B710" s="104"/>
      <c r="C710" s="78"/>
      <c r="D710" s="78"/>
      <c r="E710" s="78"/>
      <c r="F710" s="87"/>
      <c r="G710" s="78"/>
      <c r="J710" s="78"/>
      <c r="K710" s="78"/>
    </row>
    <row r="711" spans="1:11">
      <c r="A711" s="77"/>
      <c r="B711" s="104"/>
      <c r="C711" s="78"/>
      <c r="D711" s="78"/>
      <c r="E711" s="78"/>
      <c r="F711" s="87"/>
      <c r="G711" s="78"/>
      <c r="J711" s="78"/>
      <c r="K711" s="78"/>
    </row>
    <row r="712" spans="1:11">
      <c r="A712" s="77"/>
      <c r="B712" s="104"/>
      <c r="C712" s="78"/>
      <c r="D712" s="78"/>
      <c r="E712" s="78"/>
      <c r="F712" s="87"/>
      <c r="G712" s="78"/>
      <c r="J712" s="78"/>
      <c r="K712" s="78"/>
    </row>
    <row r="713" spans="1:11">
      <c r="A713" s="77"/>
      <c r="B713" s="104"/>
      <c r="C713" s="78"/>
      <c r="D713" s="78"/>
      <c r="E713" s="78"/>
      <c r="F713" s="87"/>
      <c r="G713" s="78"/>
      <c r="J713" s="78"/>
      <c r="K713" s="78"/>
    </row>
    <row r="714" spans="1:11">
      <c r="A714" s="77"/>
      <c r="B714" s="104"/>
      <c r="C714" s="78"/>
      <c r="D714" s="78"/>
      <c r="E714" s="78"/>
      <c r="F714" s="87"/>
      <c r="G714" s="78"/>
      <c r="J714" s="78"/>
      <c r="K714" s="78"/>
    </row>
    <row r="715" spans="1:11">
      <c r="A715" s="77"/>
      <c r="B715" s="104"/>
      <c r="C715" s="78"/>
      <c r="D715" s="78"/>
      <c r="E715" s="78"/>
      <c r="F715" s="87"/>
      <c r="G715" s="78"/>
      <c r="J715" s="78"/>
      <c r="K715" s="78"/>
    </row>
    <row r="716" spans="1:11">
      <c r="A716" s="77"/>
      <c r="B716" s="104"/>
      <c r="C716" s="78"/>
      <c r="D716" s="78"/>
      <c r="E716" s="78"/>
      <c r="F716" s="87"/>
      <c r="G716" s="78"/>
      <c r="J716" s="78"/>
      <c r="K716" s="78"/>
    </row>
    <row r="717" spans="1:11">
      <c r="A717" s="77"/>
      <c r="B717" s="104"/>
      <c r="C717" s="78"/>
      <c r="D717" s="78"/>
      <c r="E717" s="78"/>
      <c r="F717" s="87"/>
      <c r="G717" s="78"/>
      <c r="J717" s="78"/>
      <c r="K717" s="78"/>
    </row>
    <row r="718" spans="1:11">
      <c r="A718" s="77"/>
      <c r="B718" s="104"/>
      <c r="C718" s="78"/>
      <c r="D718" s="78"/>
      <c r="E718" s="78"/>
      <c r="F718" s="87"/>
      <c r="G718" s="78"/>
      <c r="J718" s="78"/>
      <c r="K718" s="78"/>
    </row>
    <row r="719" spans="1:11">
      <c r="A719" s="77"/>
      <c r="B719" s="104"/>
      <c r="C719" s="78"/>
      <c r="D719" s="78"/>
      <c r="E719" s="78"/>
      <c r="F719" s="87"/>
      <c r="G719" s="78"/>
      <c r="J719" s="78"/>
      <c r="K719" s="78"/>
    </row>
    <row r="720" spans="1:11">
      <c r="A720" s="77"/>
      <c r="B720" s="104"/>
      <c r="C720" s="78"/>
      <c r="D720" s="78"/>
      <c r="E720" s="78"/>
      <c r="F720" s="87"/>
      <c r="G720" s="78"/>
      <c r="J720" s="78"/>
      <c r="K720" s="78"/>
    </row>
    <row r="721" spans="1:11">
      <c r="A721" s="77"/>
      <c r="B721" s="104"/>
      <c r="C721" s="78"/>
      <c r="D721" s="78"/>
      <c r="E721" s="78"/>
      <c r="F721" s="87"/>
      <c r="G721" s="78"/>
      <c r="J721" s="78"/>
      <c r="K721" s="78"/>
    </row>
    <row r="722" spans="1:11">
      <c r="A722" s="77"/>
      <c r="B722" s="104"/>
      <c r="C722" s="78"/>
      <c r="D722" s="78"/>
      <c r="E722" s="78"/>
      <c r="F722" s="87"/>
      <c r="G722" s="78"/>
      <c r="J722" s="78"/>
      <c r="K722" s="78"/>
    </row>
    <row r="723" spans="1:11">
      <c r="A723" s="77"/>
      <c r="B723" s="104"/>
      <c r="C723" s="78"/>
      <c r="D723" s="78"/>
      <c r="E723" s="78"/>
      <c r="F723" s="87"/>
      <c r="G723" s="78"/>
      <c r="J723" s="78"/>
      <c r="K723" s="78"/>
    </row>
    <row r="724" spans="1:11">
      <c r="A724" s="77"/>
      <c r="B724" s="104"/>
      <c r="C724" s="78"/>
      <c r="D724" s="78"/>
      <c r="E724" s="78"/>
      <c r="F724" s="87"/>
      <c r="G724" s="78"/>
      <c r="J724" s="78"/>
      <c r="K724" s="78"/>
    </row>
    <row r="725" spans="1:11">
      <c r="A725" s="77"/>
      <c r="B725" s="104"/>
      <c r="C725" s="78"/>
      <c r="D725" s="78"/>
      <c r="E725" s="78"/>
      <c r="F725" s="87"/>
      <c r="G725" s="78"/>
      <c r="J725" s="78"/>
      <c r="K725" s="78"/>
    </row>
    <row r="726" spans="1:11">
      <c r="A726" s="77"/>
      <c r="B726" s="104"/>
      <c r="C726" s="78"/>
      <c r="D726" s="78"/>
      <c r="E726" s="78"/>
      <c r="F726" s="87"/>
      <c r="G726" s="78"/>
      <c r="J726" s="78"/>
      <c r="K726" s="78"/>
    </row>
    <row r="727" spans="1:11">
      <c r="A727" s="77"/>
      <c r="B727" s="104"/>
      <c r="C727" s="78"/>
      <c r="D727" s="78"/>
      <c r="E727" s="78"/>
      <c r="F727" s="87"/>
      <c r="G727" s="78"/>
      <c r="J727" s="78"/>
      <c r="K727" s="78"/>
    </row>
    <row r="728" spans="1:11">
      <c r="A728" s="77"/>
      <c r="B728" s="104"/>
      <c r="C728" s="78"/>
      <c r="D728" s="78"/>
      <c r="E728" s="78"/>
      <c r="F728" s="87"/>
      <c r="G728" s="78"/>
      <c r="J728" s="78"/>
      <c r="K728" s="78"/>
    </row>
    <row r="729" spans="1:11">
      <c r="A729" s="77"/>
      <c r="B729" s="104"/>
      <c r="C729" s="78"/>
      <c r="D729" s="78"/>
      <c r="E729" s="78"/>
      <c r="F729" s="87"/>
      <c r="G729" s="78"/>
      <c r="J729" s="78"/>
      <c r="K729" s="78"/>
    </row>
    <row r="730" spans="1:11">
      <c r="A730" s="77"/>
      <c r="B730" s="104"/>
      <c r="C730" s="78"/>
      <c r="D730" s="78"/>
      <c r="E730" s="78"/>
      <c r="F730" s="87"/>
      <c r="G730" s="78"/>
      <c r="J730" s="78"/>
      <c r="K730" s="78"/>
    </row>
    <row r="731" spans="1:11">
      <c r="A731" s="77"/>
      <c r="B731" s="104"/>
      <c r="C731" s="78"/>
      <c r="D731" s="78"/>
      <c r="E731" s="78"/>
      <c r="F731" s="87"/>
      <c r="G731" s="78"/>
      <c r="J731" s="78"/>
      <c r="K731" s="78"/>
    </row>
    <row r="732" spans="1:11">
      <c r="A732" s="77"/>
      <c r="B732" s="104"/>
      <c r="C732" s="78"/>
      <c r="D732" s="78"/>
      <c r="E732" s="78"/>
      <c r="F732" s="87"/>
      <c r="G732" s="78"/>
      <c r="J732" s="78"/>
      <c r="K732" s="78"/>
    </row>
    <row r="733" spans="1:11">
      <c r="A733" s="77"/>
      <c r="B733" s="104"/>
      <c r="C733" s="78"/>
      <c r="D733" s="78"/>
      <c r="E733" s="78"/>
      <c r="F733" s="87"/>
      <c r="G733" s="78"/>
      <c r="J733" s="78"/>
      <c r="K733" s="78"/>
    </row>
    <row r="734" spans="1:11">
      <c r="A734" s="77"/>
      <c r="B734" s="104"/>
      <c r="C734" s="78"/>
      <c r="D734" s="78"/>
      <c r="E734" s="78"/>
      <c r="F734" s="87"/>
      <c r="G734" s="78"/>
      <c r="J734" s="78"/>
      <c r="K734" s="78"/>
    </row>
    <row r="735" spans="1:11">
      <c r="A735" s="77"/>
      <c r="B735" s="104"/>
      <c r="C735" s="78"/>
      <c r="D735" s="78"/>
      <c r="E735" s="78"/>
      <c r="F735" s="87"/>
      <c r="G735" s="78"/>
      <c r="J735" s="78"/>
      <c r="K735" s="78"/>
    </row>
    <row r="736" spans="1:11">
      <c r="A736" s="77"/>
      <c r="B736" s="104"/>
      <c r="C736" s="78"/>
      <c r="D736" s="78"/>
      <c r="E736" s="78"/>
      <c r="F736" s="87"/>
      <c r="G736" s="78"/>
      <c r="J736" s="78"/>
      <c r="K736" s="78"/>
    </row>
    <row r="737" spans="1:11">
      <c r="A737" s="77"/>
      <c r="B737" s="104"/>
      <c r="C737" s="78"/>
      <c r="D737" s="78"/>
      <c r="E737" s="78"/>
      <c r="F737" s="87"/>
      <c r="G737" s="78"/>
      <c r="J737" s="78"/>
      <c r="K737" s="78"/>
    </row>
    <row r="738" spans="1:11">
      <c r="A738" s="77"/>
      <c r="B738" s="104"/>
      <c r="C738" s="78"/>
      <c r="D738" s="78"/>
      <c r="E738" s="78"/>
      <c r="F738" s="87"/>
      <c r="G738" s="78"/>
      <c r="J738" s="78"/>
      <c r="K738" s="78"/>
    </row>
    <row r="739" spans="1:11">
      <c r="A739" s="77"/>
      <c r="B739" s="104"/>
      <c r="C739" s="78"/>
      <c r="D739" s="78"/>
      <c r="E739" s="78"/>
      <c r="F739" s="87"/>
      <c r="G739" s="78"/>
      <c r="J739" s="78"/>
      <c r="K739" s="78"/>
    </row>
    <row r="740" spans="1:11">
      <c r="A740" s="77"/>
      <c r="B740" s="104"/>
      <c r="C740" s="78"/>
      <c r="D740" s="78"/>
      <c r="E740" s="78"/>
      <c r="F740" s="87"/>
      <c r="G740" s="78"/>
      <c r="J740" s="78"/>
      <c r="K740" s="78"/>
    </row>
    <row r="741" spans="1:11">
      <c r="A741" s="77"/>
      <c r="B741" s="104"/>
      <c r="C741" s="78"/>
      <c r="D741" s="78"/>
      <c r="E741" s="78"/>
      <c r="F741" s="87"/>
      <c r="G741" s="78"/>
      <c r="J741" s="78"/>
      <c r="K741" s="78"/>
    </row>
    <row r="742" spans="1:11">
      <c r="A742" s="77"/>
      <c r="B742" s="104"/>
      <c r="C742" s="78"/>
      <c r="D742" s="78"/>
      <c r="E742" s="78"/>
      <c r="F742" s="87"/>
      <c r="G742" s="78"/>
      <c r="J742" s="78"/>
      <c r="K742" s="78"/>
    </row>
    <row r="743" spans="1:11">
      <c r="A743" s="77"/>
      <c r="B743" s="104"/>
      <c r="C743" s="78"/>
      <c r="D743" s="78"/>
      <c r="E743" s="78"/>
      <c r="F743" s="87"/>
      <c r="G743" s="78"/>
      <c r="J743" s="78"/>
      <c r="K743" s="78"/>
    </row>
    <row r="744" spans="1:11">
      <c r="A744" s="77"/>
      <c r="B744" s="104"/>
      <c r="C744" s="78"/>
      <c r="D744" s="78"/>
      <c r="E744" s="78"/>
      <c r="F744" s="87"/>
      <c r="G744" s="78"/>
      <c r="J744" s="78"/>
      <c r="K744" s="78"/>
    </row>
    <row r="745" spans="1:11">
      <c r="A745" s="77"/>
      <c r="B745" s="104"/>
      <c r="C745" s="78"/>
      <c r="D745" s="78"/>
      <c r="E745" s="78"/>
      <c r="F745" s="87"/>
      <c r="G745" s="78"/>
      <c r="J745" s="78"/>
      <c r="K745" s="78"/>
    </row>
    <row r="746" spans="1:11">
      <c r="A746" s="77"/>
      <c r="B746" s="104"/>
      <c r="C746" s="78"/>
      <c r="D746" s="78"/>
      <c r="E746" s="78"/>
      <c r="F746" s="87"/>
      <c r="G746" s="78"/>
      <c r="J746" s="78"/>
      <c r="K746" s="78"/>
    </row>
    <row r="747" spans="1:11">
      <c r="A747" s="77"/>
      <c r="B747" s="104"/>
      <c r="C747" s="78"/>
      <c r="D747" s="78"/>
      <c r="E747" s="78"/>
      <c r="F747" s="87"/>
      <c r="G747" s="78"/>
      <c r="J747" s="78"/>
      <c r="K747" s="78"/>
    </row>
    <row r="748" spans="1:11">
      <c r="A748" s="77"/>
      <c r="B748" s="104"/>
      <c r="C748" s="78"/>
      <c r="D748" s="78"/>
      <c r="E748" s="78"/>
      <c r="F748" s="87"/>
      <c r="G748" s="78"/>
      <c r="J748" s="78"/>
      <c r="K748" s="78"/>
    </row>
    <row r="749" spans="1:11">
      <c r="A749" s="77"/>
      <c r="B749" s="104"/>
      <c r="C749" s="78"/>
      <c r="D749" s="78"/>
      <c r="E749" s="78"/>
      <c r="F749" s="87"/>
      <c r="G749" s="78"/>
      <c r="J749" s="78"/>
      <c r="K749" s="78"/>
    </row>
    <row r="750" spans="1:11">
      <c r="A750" s="77"/>
      <c r="B750" s="104"/>
      <c r="C750" s="78"/>
      <c r="D750" s="78"/>
      <c r="E750" s="78"/>
      <c r="F750" s="87"/>
      <c r="G750" s="78"/>
      <c r="J750" s="78"/>
      <c r="K750" s="78"/>
    </row>
    <row r="751" spans="1:11">
      <c r="A751" s="77"/>
      <c r="B751" s="104"/>
      <c r="C751" s="78"/>
      <c r="D751" s="78"/>
      <c r="E751" s="78"/>
      <c r="F751" s="87"/>
      <c r="G751" s="78"/>
      <c r="J751" s="78"/>
      <c r="K751" s="78"/>
    </row>
    <row r="752" spans="1:11">
      <c r="A752" s="77"/>
      <c r="B752" s="104"/>
      <c r="C752" s="78"/>
      <c r="D752" s="78"/>
      <c r="E752" s="78"/>
      <c r="F752" s="87"/>
      <c r="G752" s="78"/>
      <c r="J752" s="78"/>
      <c r="K752" s="78"/>
    </row>
    <row r="753" spans="1:11">
      <c r="A753" s="77"/>
      <c r="B753" s="104"/>
      <c r="C753" s="78"/>
      <c r="D753" s="78"/>
      <c r="E753" s="78"/>
      <c r="F753" s="87"/>
      <c r="G753" s="78"/>
      <c r="J753" s="78"/>
      <c r="K753" s="78"/>
    </row>
    <row r="754" spans="1:11">
      <c r="A754" s="77"/>
      <c r="B754" s="104"/>
      <c r="C754" s="78"/>
      <c r="D754" s="78"/>
      <c r="E754" s="78"/>
      <c r="F754" s="87"/>
      <c r="G754" s="78"/>
      <c r="J754" s="78"/>
      <c r="K754" s="78"/>
    </row>
    <row r="755" spans="1:11">
      <c r="A755" s="77"/>
      <c r="B755" s="104"/>
      <c r="C755" s="78"/>
      <c r="D755" s="78"/>
      <c r="E755" s="78"/>
      <c r="F755" s="87"/>
      <c r="G755" s="78"/>
      <c r="J755" s="78"/>
      <c r="K755" s="78"/>
    </row>
    <row r="756" spans="1:11">
      <c r="A756" s="77"/>
      <c r="B756" s="104"/>
      <c r="C756" s="78"/>
      <c r="D756" s="78"/>
      <c r="E756" s="78"/>
      <c r="F756" s="87"/>
      <c r="G756" s="78"/>
      <c r="J756" s="78"/>
      <c r="K756" s="78"/>
    </row>
    <row r="757" spans="1:11">
      <c r="A757" s="77"/>
      <c r="B757" s="104"/>
      <c r="C757" s="78"/>
      <c r="D757" s="78"/>
      <c r="E757" s="78"/>
      <c r="F757" s="87"/>
      <c r="G757" s="78"/>
      <c r="J757" s="78"/>
      <c r="K757" s="78"/>
    </row>
    <row r="758" spans="1:11">
      <c r="A758" s="77"/>
      <c r="B758" s="104"/>
      <c r="C758" s="78"/>
      <c r="D758" s="78"/>
      <c r="E758" s="78"/>
      <c r="F758" s="87"/>
      <c r="G758" s="78"/>
      <c r="J758" s="78"/>
      <c r="K758" s="78"/>
    </row>
    <row r="759" spans="1:11">
      <c r="A759" s="77"/>
      <c r="B759" s="104"/>
      <c r="C759" s="78"/>
      <c r="D759" s="78"/>
      <c r="E759" s="78"/>
      <c r="F759" s="87"/>
      <c r="G759" s="78"/>
      <c r="J759" s="78"/>
      <c r="K759" s="78"/>
    </row>
    <row r="760" spans="1:11">
      <c r="A760" s="77"/>
      <c r="B760" s="104"/>
      <c r="C760" s="78"/>
      <c r="D760" s="78"/>
      <c r="E760" s="78"/>
      <c r="F760" s="87"/>
      <c r="G760" s="78"/>
      <c r="J760" s="78"/>
      <c r="K760" s="78"/>
    </row>
    <row r="761" spans="1:11">
      <c r="A761" s="77"/>
      <c r="B761" s="104"/>
      <c r="C761" s="78"/>
      <c r="D761" s="78"/>
      <c r="E761" s="78"/>
      <c r="F761" s="87"/>
      <c r="G761" s="78"/>
      <c r="J761" s="78"/>
      <c r="K761" s="78"/>
    </row>
    <row r="762" spans="1:11">
      <c r="A762" s="77"/>
      <c r="B762" s="104"/>
      <c r="C762" s="78"/>
      <c r="D762" s="78"/>
      <c r="E762" s="78"/>
      <c r="F762" s="87"/>
      <c r="G762" s="78"/>
      <c r="J762" s="78"/>
      <c r="K762" s="78"/>
    </row>
    <row r="763" spans="1:11">
      <c r="A763" s="77"/>
      <c r="B763" s="104"/>
      <c r="C763" s="78"/>
      <c r="D763" s="78"/>
      <c r="E763" s="78"/>
      <c r="F763" s="87"/>
      <c r="G763" s="78"/>
      <c r="J763" s="78"/>
      <c r="K763" s="78"/>
    </row>
    <row r="764" spans="1:11">
      <c r="A764" s="77"/>
      <c r="B764" s="104"/>
      <c r="C764" s="78"/>
      <c r="D764" s="78"/>
      <c r="E764" s="78"/>
      <c r="F764" s="87"/>
      <c r="G764" s="78"/>
      <c r="J764" s="78"/>
      <c r="K764" s="78"/>
    </row>
    <row r="765" spans="1:11">
      <c r="A765" s="77"/>
      <c r="B765" s="104"/>
      <c r="C765" s="78"/>
      <c r="D765" s="78"/>
      <c r="E765" s="78"/>
      <c r="F765" s="87"/>
      <c r="G765" s="78"/>
      <c r="J765" s="78"/>
      <c r="K765" s="78"/>
    </row>
    <row r="766" spans="1:11">
      <c r="A766" s="77"/>
      <c r="B766" s="104"/>
      <c r="C766" s="78"/>
      <c r="D766" s="78"/>
      <c r="E766" s="78"/>
      <c r="F766" s="87"/>
      <c r="G766" s="78"/>
      <c r="J766" s="78"/>
      <c r="K766" s="78"/>
    </row>
    <row r="767" spans="1:11">
      <c r="A767" s="77"/>
      <c r="B767" s="104"/>
      <c r="C767" s="78"/>
      <c r="D767" s="78"/>
      <c r="E767" s="78"/>
      <c r="F767" s="87"/>
      <c r="G767" s="78"/>
      <c r="J767" s="78"/>
      <c r="K767" s="78"/>
    </row>
    <row r="768" spans="1:11">
      <c r="A768" s="77"/>
      <c r="B768" s="104"/>
      <c r="C768" s="78"/>
      <c r="D768" s="78"/>
      <c r="E768" s="78"/>
      <c r="F768" s="87"/>
      <c r="G768" s="78"/>
      <c r="J768" s="78"/>
      <c r="K768" s="78"/>
    </row>
    <row r="769" spans="1:11">
      <c r="A769" s="77"/>
      <c r="B769" s="104"/>
      <c r="C769" s="78"/>
      <c r="D769" s="78"/>
      <c r="E769" s="78"/>
      <c r="F769" s="87"/>
      <c r="G769" s="78"/>
      <c r="J769" s="78"/>
      <c r="K769" s="78"/>
    </row>
    <row r="770" spans="1:11">
      <c r="A770" s="77"/>
      <c r="B770" s="104"/>
      <c r="C770" s="78"/>
      <c r="D770" s="78"/>
      <c r="E770" s="78"/>
      <c r="F770" s="87"/>
      <c r="G770" s="78"/>
      <c r="J770" s="78"/>
      <c r="K770" s="78"/>
    </row>
    <row r="771" spans="1:11">
      <c r="A771" s="77"/>
      <c r="B771" s="104"/>
      <c r="C771" s="78"/>
      <c r="D771" s="78"/>
      <c r="E771" s="78"/>
      <c r="F771" s="87"/>
      <c r="G771" s="78"/>
      <c r="J771" s="78"/>
      <c r="K771" s="78"/>
    </row>
    <row r="772" spans="1:11">
      <c r="A772" s="77"/>
      <c r="B772" s="104"/>
      <c r="C772" s="78"/>
      <c r="D772" s="78"/>
      <c r="E772" s="78"/>
      <c r="F772" s="87"/>
      <c r="G772" s="78"/>
      <c r="J772" s="78"/>
      <c r="K772" s="78"/>
    </row>
    <row r="773" spans="1:11">
      <c r="A773" s="77"/>
      <c r="B773" s="104"/>
      <c r="C773" s="78"/>
      <c r="D773" s="78"/>
      <c r="E773" s="78"/>
      <c r="F773" s="87"/>
      <c r="G773" s="78"/>
      <c r="J773" s="78"/>
      <c r="K773" s="78"/>
    </row>
    <row r="774" spans="1:11">
      <c r="A774" s="77"/>
      <c r="B774" s="104"/>
      <c r="C774" s="78"/>
      <c r="D774" s="78"/>
      <c r="E774" s="78"/>
      <c r="F774" s="87"/>
      <c r="G774" s="78"/>
      <c r="J774" s="78"/>
      <c r="K774" s="78"/>
    </row>
    <row r="775" spans="1:11">
      <c r="A775" s="77"/>
      <c r="B775" s="104"/>
      <c r="C775" s="78"/>
      <c r="D775" s="78"/>
      <c r="E775" s="78"/>
      <c r="F775" s="87"/>
      <c r="G775" s="78"/>
      <c r="J775" s="78"/>
      <c r="K775" s="78"/>
    </row>
    <row r="776" spans="1:11">
      <c r="A776" s="77"/>
      <c r="B776" s="104"/>
      <c r="C776" s="78"/>
      <c r="D776" s="78"/>
      <c r="E776" s="78"/>
      <c r="F776" s="87"/>
      <c r="G776" s="78"/>
      <c r="J776" s="78"/>
      <c r="K776" s="78"/>
    </row>
    <row r="777" spans="1:11">
      <c r="A777" s="77"/>
      <c r="B777" s="104"/>
      <c r="C777" s="78"/>
      <c r="D777" s="78"/>
      <c r="E777" s="78"/>
      <c r="F777" s="87"/>
      <c r="G777" s="78"/>
      <c r="J777" s="78"/>
      <c r="K777" s="78"/>
    </row>
    <row r="778" spans="1:11">
      <c r="A778" s="77"/>
      <c r="B778" s="104"/>
      <c r="C778" s="78"/>
      <c r="D778" s="78"/>
      <c r="E778" s="78"/>
      <c r="F778" s="87"/>
      <c r="G778" s="78"/>
      <c r="J778" s="78"/>
      <c r="K778" s="78"/>
    </row>
    <row r="779" spans="1:11">
      <c r="A779" s="77"/>
      <c r="B779" s="104"/>
      <c r="C779" s="78"/>
      <c r="D779" s="78"/>
      <c r="E779" s="78"/>
      <c r="F779" s="87"/>
      <c r="G779" s="78"/>
      <c r="J779" s="78"/>
      <c r="K779" s="78"/>
    </row>
  </sheetData>
  <autoFilter ref="A11:M123" xr:uid="{00000000-0009-0000-0000-00001E000000}"/>
  <mergeCells count="17">
    <mergeCell ref="A268:A271"/>
    <mergeCell ref="A263:A265"/>
    <mergeCell ref="A196:A234"/>
    <mergeCell ref="A236:A242"/>
    <mergeCell ref="A244:A248"/>
    <mergeCell ref="A250:A261"/>
    <mergeCell ref="B6:B7"/>
    <mergeCell ref="B8:B9"/>
    <mergeCell ref="A117:A118"/>
    <mergeCell ref="A119:A123"/>
    <mergeCell ref="A183:A192"/>
    <mergeCell ref="A12:A111"/>
    <mergeCell ref="A125:A166"/>
    <mergeCell ref="A174:A175"/>
    <mergeCell ref="A177:A181"/>
    <mergeCell ref="A112:A114"/>
    <mergeCell ref="A167:A172"/>
  </mergeCells>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ced06422-c515-4a4e-a1f2-e6a0c0200eae}" enabled="1" method="Standard" siteId="{e339bd4b-2e3b-4035-a452-2112d502f2f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14</vt:i4>
      </vt:variant>
    </vt:vector>
  </HeadingPairs>
  <TitlesOfParts>
    <vt:vector size="35" baseType="lpstr">
      <vt:lpstr>FIJ_2</vt:lpstr>
      <vt:lpstr>EXTRA</vt:lpstr>
      <vt:lpstr>Tarifa 2025</vt:lpstr>
      <vt:lpstr>FACHADAS</vt:lpstr>
      <vt:lpstr>SWT-E-O</vt:lpstr>
      <vt:lpstr>calculo espigas</vt:lpstr>
      <vt:lpstr>SWT-A-O</vt:lpstr>
      <vt:lpstr>ZOC</vt:lpstr>
      <vt:lpstr>Listas-2</vt:lpstr>
      <vt:lpstr>Hoja1</vt:lpstr>
      <vt:lpstr>TARIFA 2024</vt:lpstr>
      <vt:lpstr>Espesores</vt:lpstr>
      <vt:lpstr>SIS</vt:lpstr>
      <vt:lpstr>AIS</vt:lpstr>
      <vt:lpstr>ADH</vt:lpstr>
      <vt:lpstr>FIJ_1</vt:lpstr>
      <vt:lpstr>Lista - memorias</vt:lpstr>
      <vt:lpstr>REF</vt:lpstr>
      <vt:lpstr>REV</vt:lpstr>
      <vt:lpstr>Listas-1</vt:lpstr>
      <vt:lpstr>calendario</vt:lpstr>
      <vt:lpstr>Hoja1!Área_de_impresión</vt:lpstr>
      <vt:lpstr>'SWT-A-O'!Área_de_impresión</vt:lpstr>
      <vt:lpstr>'SWT-E-O'!Área_de_impresión</vt:lpstr>
      <vt:lpstr>'SWT-A-O'!Print_Area</vt:lpstr>
      <vt:lpstr>'SWT-E-O'!Print_Area</vt:lpstr>
      <vt:lpstr>webercal_basic</vt:lpstr>
      <vt:lpstr>webercal_revoco</vt:lpstr>
      <vt:lpstr>webertherm_acustic</vt:lpstr>
      <vt:lpstr>webertherm_ceramic_optima</vt:lpstr>
      <vt:lpstr>webertherm_ceramic_plus</vt:lpstr>
      <vt:lpstr>webertherm_etics</vt:lpstr>
      <vt:lpstr>webertherm_flex</vt:lpstr>
      <vt:lpstr>webertherm_mineral</vt:lpstr>
      <vt:lpstr>webertherm_natura</vt:lpstr>
    </vt:vector>
  </TitlesOfParts>
  <Company>SAINT-GOBAIN 1.1</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Palau Aguilar, Lorena</dc:creator>
  <cp:lastModifiedBy>Akhrif, Hanan</cp:lastModifiedBy>
  <cp:lastPrinted>2025-02-13T07:40:00Z</cp:lastPrinted>
  <dcterms:created xsi:type="dcterms:W3CDTF">2020-04-04T23:09:25Z</dcterms:created>
  <dcterms:modified xsi:type="dcterms:W3CDTF">2025-02-13T14:56:18Z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ed06422-c515-4a4e-a1f2-e6a0c0200eae_Enabled">
    <vt:lpwstr>true</vt:lpwstr>
  </property>
  <property fmtid="{D5CDD505-2E9C-101B-9397-08002B2CF9AE}" pid="3" name="MSIP_Label_ced06422-c515-4a4e-a1f2-e6a0c0200eae_SetDate">
    <vt:lpwstr>2020-12-22T07:08:53Z</vt:lpwstr>
  </property>
  <property fmtid="{D5CDD505-2E9C-101B-9397-08002B2CF9AE}" pid="4" name="MSIP_Label_ced06422-c515-4a4e-a1f2-e6a0c0200eae_Method">
    <vt:lpwstr>Standard</vt:lpwstr>
  </property>
  <property fmtid="{D5CDD505-2E9C-101B-9397-08002B2CF9AE}" pid="5" name="MSIP_Label_ced06422-c515-4a4e-a1f2-e6a0c0200eae_Name">
    <vt:lpwstr>Unclassifed</vt:lpwstr>
  </property>
  <property fmtid="{D5CDD505-2E9C-101B-9397-08002B2CF9AE}" pid="6" name="MSIP_Label_ced06422-c515-4a4e-a1f2-e6a0c0200eae_SiteId">
    <vt:lpwstr>e339bd4b-2e3b-4035-a452-2112d502f2ff</vt:lpwstr>
  </property>
  <property fmtid="{D5CDD505-2E9C-101B-9397-08002B2CF9AE}" pid="7" name="MSIP_Label_ced06422-c515-4a4e-a1f2-e6a0c0200eae_ActionId">
    <vt:lpwstr>9b07490b-2c1d-4a67-b4e9-8433b6d80d75</vt:lpwstr>
  </property>
  <property fmtid="{D5CDD505-2E9C-101B-9397-08002B2CF9AE}" pid="8" name="MSIP_Label_ced06422-c515-4a4e-a1f2-e6a0c0200eae_ContentBits">
    <vt:lpwstr>0</vt:lpwstr>
  </property>
</Properties>
</file>